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0.53\share\各部\120_市民生活部\20_税務課\11_市民税１係・２係\050_国民健康保険税\014_2024（作成中）\130_HP(ホームページ)\100_税計算シート\010_2024\"/>
    </mc:Choice>
  </mc:AlternateContent>
  <workbookProtection workbookPassword="E2DB" lockStructure="1"/>
  <bookViews>
    <workbookView xWindow="-120" yWindow="-120" windowWidth="20730" windowHeight="11160"/>
  </bookViews>
  <sheets>
    <sheet name="国保税の計算シート" sheetId="2" r:id="rId1"/>
    <sheet name="Mstr" sheetId="3" state="hidden" r:id="rId2"/>
  </sheets>
  <definedNames>
    <definedName name="_xlnm.Print_Area" localSheetId="0">国保税の計算シート!$A$1:$N$57</definedName>
    <definedName name="年齢選択" localSheetId="0">Mstr!$L$48:$L$51</definedName>
    <definedName name="年齢選択">Mstr!$L$48:$L$51</definedName>
  </definedNames>
  <calcPr calcId="162913" calcOnSave="0"/>
</workbook>
</file>

<file path=xl/calcChain.xml><?xml version="1.0" encoding="utf-8"?>
<calcChain xmlns="http://schemas.openxmlformats.org/spreadsheetml/2006/main">
  <c r="L65" i="3" l="1"/>
  <c r="H22" i="3" l="1"/>
  <c r="M55" i="3" s="1"/>
  <c r="M56" i="3" s="1"/>
  <c r="K72" i="3"/>
  <c r="L22" i="3" l="1"/>
  <c r="L66" i="3" l="1"/>
  <c r="L67" i="3"/>
  <c r="H4" i="3"/>
  <c r="I4" i="3" s="1"/>
  <c r="H6" i="3"/>
  <c r="I6" i="3" s="1"/>
  <c r="H8" i="3"/>
  <c r="I8" i="3" s="1"/>
  <c r="H10" i="3"/>
  <c r="I10" i="3" s="1"/>
  <c r="H12" i="3"/>
  <c r="I12" i="3" s="1"/>
  <c r="H14" i="3"/>
  <c r="I14" i="3" s="1"/>
  <c r="H16" i="3"/>
  <c r="I16" i="3" s="1"/>
  <c r="H18" i="3"/>
  <c r="I18" i="3" s="1"/>
  <c r="H20" i="3"/>
  <c r="I20" i="3" s="1"/>
  <c r="H28" i="3"/>
  <c r="I28" i="3" s="1"/>
  <c r="H30" i="3"/>
  <c r="I30" i="3" s="1"/>
  <c r="H32" i="3"/>
  <c r="I32" i="3" s="1"/>
  <c r="H34" i="3"/>
  <c r="I34" i="3" s="1"/>
  <c r="H36" i="3"/>
  <c r="I36" i="3" s="1"/>
  <c r="H38" i="3"/>
  <c r="I38" i="3" s="1"/>
  <c r="H40" i="3"/>
  <c r="I40" i="3" s="1"/>
  <c r="H42" i="3"/>
  <c r="I42" i="3" s="1"/>
  <c r="M57" i="3" l="1"/>
  <c r="M58" i="3"/>
  <c r="N55" i="3"/>
  <c r="H44" i="3"/>
  <c r="O55" i="3" s="1"/>
  <c r="O58" i="3" s="1"/>
  <c r="H24" i="3"/>
  <c r="D29" i="2" s="1"/>
  <c r="L24" i="3"/>
  <c r="M65" i="3" s="1"/>
  <c r="H46" i="3"/>
  <c r="L29" i="2" s="1"/>
  <c r="I29" i="2" l="1"/>
  <c r="K65" i="3"/>
  <c r="M67" i="3"/>
  <c r="K67" i="3" s="1"/>
  <c r="M66" i="3"/>
  <c r="K66" i="3" s="1"/>
  <c r="N56" i="3"/>
  <c r="N58" i="3"/>
  <c r="N57" i="3"/>
  <c r="J56" i="3" l="1"/>
  <c r="M60" i="3" s="1"/>
  <c r="O72" i="3"/>
  <c r="O57" i="3"/>
  <c r="O56" i="3"/>
  <c r="N61" i="3" l="1"/>
  <c r="M61" i="3"/>
  <c r="J58" i="3"/>
  <c r="H35" i="2" s="1"/>
  <c r="D31" i="2"/>
  <c r="N60" i="3"/>
  <c r="O60" i="3"/>
  <c r="M62" i="3" l="1"/>
  <c r="D30" i="2" s="1"/>
  <c r="H52" i="3" s="1"/>
  <c r="H53" i="3" s="1"/>
  <c r="D32" i="2" s="1"/>
  <c r="O62" i="3"/>
  <c r="L30" i="2" s="1"/>
  <c r="J52" i="3" s="1"/>
  <c r="J53" i="3" s="1"/>
  <c r="L32" i="2" s="1"/>
  <c r="N62" i="3"/>
  <c r="I30" i="2" s="1"/>
  <c r="I52" i="3" s="1"/>
  <c r="I53" i="3" s="1"/>
  <c r="I32" i="2" s="1"/>
  <c r="H56" i="3" l="1"/>
  <c r="H58" i="3" l="1"/>
  <c r="D37" i="2" s="1"/>
  <c r="D35" i="2"/>
</calcChain>
</file>

<file path=xl/sharedStrings.xml><?xml version="1.0" encoding="utf-8"?>
<sst xmlns="http://schemas.openxmlformats.org/spreadsheetml/2006/main" count="103" uniqueCount="84">
  <si>
    <t>円</t>
    <rPh sb="0" eb="1">
      <t>エン</t>
    </rPh>
    <phoneticPr fontId="1"/>
  </si>
  <si>
    <t>医療分</t>
    <rPh sb="0" eb="2">
      <t>イリョウ</t>
    </rPh>
    <rPh sb="2" eb="3">
      <t>ブン</t>
    </rPh>
    <phoneticPr fontId="1"/>
  </si>
  <si>
    <t>所得割</t>
    <rPh sb="0" eb="2">
      <t>ショトク</t>
    </rPh>
    <rPh sb="2" eb="3">
      <t>ワリ</t>
    </rPh>
    <phoneticPr fontId="1"/>
  </si>
  <si>
    <t>平等割</t>
    <rPh sb="0" eb="2">
      <t>ビョウドウ</t>
    </rPh>
    <rPh sb="2" eb="3">
      <t>ワリ</t>
    </rPh>
    <phoneticPr fontId="1"/>
  </si>
  <si>
    <t>合計</t>
    <rPh sb="0" eb="2">
      <t>ゴウケイ</t>
    </rPh>
    <phoneticPr fontId="1"/>
  </si>
  <si>
    <t>均等割</t>
    <rPh sb="0" eb="3">
      <t>キントウワリ</t>
    </rPh>
    <phoneticPr fontId="1"/>
  </si>
  <si>
    <t>円</t>
    <rPh sb="0" eb="1">
      <t>エン</t>
    </rPh>
    <phoneticPr fontId="1"/>
  </si>
  <si>
    <t>年間の国民健康保険税額</t>
    <rPh sb="0" eb="2">
      <t>ネンカン</t>
    </rPh>
    <rPh sb="3" eb="5">
      <t>コクミン</t>
    </rPh>
    <rPh sb="5" eb="7">
      <t>ケンコウ</t>
    </rPh>
    <rPh sb="7" eb="9">
      <t>ホケン</t>
    </rPh>
    <rPh sb="9" eb="11">
      <t>ゼイガク</t>
    </rPh>
    <phoneticPr fontId="1"/>
  </si>
  <si>
    <t>１か月あたりの平均国民健康保険税額</t>
    <rPh sb="2" eb="3">
      <t>ゲツ</t>
    </rPh>
    <rPh sb="7" eb="9">
      <t>ヘイキン</t>
    </rPh>
    <rPh sb="9" eb="11">
      <t>コクミン</t>
    </rPh>
    <rPh sb="11" eb="13">
      <t>ケンコウ</t>
    </rPh>
    <rPh sb="13" eb="15">
      <t>ホケン</t>
    </rPh>
    <rPh sb="15" eb="17">
      <t>ゼイガク</t>
    </rPh>
    <phoneticPr fontId="1"/>
  </si>
  <si>
    <t>（２人目）</t>
    <phoneticPr fontId="1"/>
  </si>
  <si>
    <t>（３人目）</t>
    <phoneticPr fontId="1"/>
  </si>
  <si>
    <t>（４人目）</t>
    <phoneticPr fontId="1"/>
  </si>
  <si>
    <t>（５人目）</t>
    <phoneticPr fontId="1"/>
  </si>
  <si>
    <t>（６人目）</t>
    <phoneticPr fontId="1"/>
  </si>
  <si>
    <t>総所得額</t>
    <rPh sb="0" eb="4">
      <t>ソウショトクガク</t>
    </rPh>
    <phoneticPr fontId="1"/>
  </si>
  <si>
    <t>（１人目）</t>
    <rPh sb="2" eb="4">
      <t>ヒトメ</t>
    </rPh>
    <phoneticPr fontId="1"/>
  </si>
  <si>
    <t>０歳～３９歳</t>
    <rPh sb="1" eb="2">
      <t>サイ</t>
    </rPh>
    <rPh sb="5" eb="6">
      <t>サイ</t>
    </rPh>
    <phoneticPr fontId="1"/>
  </si>
  <si>
    <t>４０歳～６４歳</t>
    <rPh sb="2" eb="3">
      <t>サイ</t>
    </rPh>
    <rPh sb="6" eb="7">
      <t>サイ</t>
    </rPh>
    <phoneticPr fontId="1"/>
  </si>
  <si>
    <t>６５歳～７４歳</t>
    <rPh sb="2" eb="3">
      <t>サイ</t>
    </rPh>
    <rPh sb="6" eb="7">
      <t>サイ</t>
    </rPh>
    <phoneticPr fontId="1"/>
  </si>
  <si>
    <t>医療・後期</t>
    <rPh sb="0" eb="2">
      <t>イリョウ</t>
    </rPh>
    <rPh sb="3" eb="5">
      <t>コウキ</t>
    </rPh>
    <phoneticPr fontId="1"/>
  </si>
  <si>
    <t>介護</t>
    <rPh sb="0" eb="2">
      <t>カイゴ</t>
    </rPh>
    <phoneticPr fontId="1"/>
  </si>
  <si>
    <t>総所得</t>
    <rPh sb="0" eb="3">
      <t>ソウショトク</t>
    </rPh>
    <phoneticPr fontId="1"/>
  </si>
  <si>
    <t>課税標準</t>
    <rPh sb="0" eb="2">
      <t>カゼイ</t>
    </rPh>
    <rPh sb="2" eb="4">
      <t>ヒョウジュン</t>
    </rPh>
    <phoneticPr fontId="1"/>
  </si>
  <si>
    <t>（７人目）</t>
    <phoneticPr fontId="1"/>
  </si>
  <si>
    <t>（８人目）</t>
    <phoneticPr fontId="1"/>
  </si>
  <si>
    <t>（7人目）</t>
    <rPh sb="2" eb="4">
      <t>ヒトメ</t>
    </rPh>
    <phoneticPr fontId="1"/>
  </si>
  <si>
    <t>（8人目）</t>
    <phoneticPr fontId="1"/>
  </si>
  <si>
    <t>（７人目）</t>
    <rPh sb="2" eb="4">
      <t>ヒトメ</t>
    </rPh>
    <phoneticPr fontId="1"/>
  </si>
  <si>
    <t>医療・均等割</t>
    <rPh sb="0" eb="2">
      <t>イリョウ</t>
    </rPh>
    <rPh sb="3" eb="6">
      <t>キントウワ</t>
    </rPh>
    <phoneticPr fontId="1"/>
  </si>
  <si>
    <t>介護・均等割</t>
    <rPh sb="0" eb="2">
      <t>カイゴ</t>
    </rPh>
    <rPh sb="3" eb="6">
      <t>キントウワ</t>
    </rPh>
    <phoneticPr fontId="1"/>
  </si>
  <si>
    <t>医療・平等</t>
    <rPh sb="0" eb="2">
      <t>イリョウ</t>
    </rPh>
    <rPh sb="3" eb="5">
      <t>ビョウドウ</t>
    </rPh>
    <phoneticPr fontId="1"/>
  </si>
  <si>
    <t>軽減なし</t>
    <rPh sb="0" eb="2">
      <t>ケイゲン</t>
    </rPh>
    <phoneticPr fontId="1"/>
  </si>
  <si>
    <t>７割軽減該当</t>
    <rPh sb="1" eb="2">
      <t>ワリ</t>
    </rPh>
    <rPh sb="2" eb="4">
      <t>ケイゲン</t>
    </rPh>
    <rPh sb="4" eb="6">
      <t>ガイトウ</t>
    </rPh>
    <phoneticPr fontId="1"/>
  </si>
  <si>
    <t>５割軽減該当</t>
    <rPh sb="1" eb="2">
      <t>ワリ</t>
    </rPh>
    <rPh sb="2" eb="4">
      <t>ケイゲン</t>
    </rPh>
    <rPh sb="4" eb="6">
      <t>ガイトウ</t>
    </rPh>
    <phoneticPr fontId="1"/>
  </si>
  <si>
    <t>２割軽減該当</t>
    <rPh sb="1" eb="2">
      <t>ワリ</t>
    </rPh>
    <rPh sb="2" eb="4">
      <t>ケイゲン</t>
    </rPh>
    <rPh sb="4" eb="6">
      <t>ガイトウ</t>
    </rPh>
    <phoneticPr fontId="1"/>
  </si>
  <si>
    <t>医療合計</t>
    <rPh sb="0" eb="2">
      <t>イリョウ</t>
    </rPh>
    <rPh sb="2" eb="4">
      <t>ゴウケイ</t>
    </rPh>
    <phoneticPr fontId="1"/>
  </si>
  <si>
    <t>支援合計</t>
    <rPh sb="0" eb="2">
      <t>シエン</t>
    </rPh>
    <rPh sb="2" eb="4">
      <t>ゴウケイ</t>
    </rPh>
    <phoneticPr fontId="1"/>
  </si>
  <si>
    <t>介護合計</t>
    <rPh sb="0" eb="2">
      <t>カイゴ</t>
    </rPh>
    <rPh sb="2" eb="4">
      <t>ゴウケイ</t>
    </rPh>
    <phoneticPr fontId="1"/>
  </si>
  <si>
    <t>支援・均等割</t>
    <rPh sb="0" eb="2">
      <t>シエン</t>
    </rPh>
    <rPh sb="3" eb="6">
      <t>キントウワ</t>
    </rPh>
    <phoneticPr fontId="1"/>
  </si>
  <si>
    <t>支援・平等</t>
    <rPh sb="0" eb="2">
      <t>シエン</t>
    </rPh>
    <rPh sb="3" eb="5">
      <t>ビョウドウ</t>
    </rPh>
    <phoneticPr fontId="1"/>
  </si>
  <si>
    <t>（擬主）</t>
    <rPh sb="1" eb="2">
      <t>ギ</t>
    </rPh>
    <rPh sb="2" eb="3">
      <t>ヌシ</t>
    </rPh>
    <phoneticPr fontId="1"/>
  </si>
  <si>
    <t>加入者数</t>
    <rPh sb="0" eb="3">
      <t>カニュウシャ</t>
    </rPh>
    <rPh sb="3" eb="4">
      <t>スウ</t>
    </rPh>
    <phoneticPr fontId="1"/>
  </si>
  <si>
    <t>合計額</t>
    <rPh sb="0" eb="2">
      <t>ゴウケイ</t>
    </rPh>
    <rPh sb="2" eb="3">
      <t>ガク</t>
    </rPh>
    <phoneticPr fontId="1"/>
  </si>
  <si>
    <t>軽減判定用</t>
    <rPh sb="0" eb="2">
      <t>ケイゲン</t>
    </rPh>
    <rPh sb="2" eb="5">
      <t>ハンテイヨウ</t>
    </rPh>
    <phoneticPr fontId="1"/>
  </si>
  <si>
    <t>人数</t>
    <rPh sb="0" eb="2">
      <t>ニンズウ</t>
    </rPh>
    <phoneticPr fontId="1"/>
  </si>
  <si>
    <t>介護合計額</t>
    <rPh sb="0" eb="2">
      <t>カイゴ</t>
    </rPh>
    <rPh sb="2" eb="4">
      <t>ゴウケイ</t>
    </rPh>
    <rPh sb="4" eb="5">
      <t>ガク</t>
    </rPh>
    <phoneticPr fontId="1"/>
  </si>
  <si>
    <t>介護該当人数</t>
    <rPh sb="0" eb="2">
      <t>カイゴ</t>
    </rPh>
    <rPh sb="2" eb="4">
      <t>ガイトウ</t>
    </rPh>
    <rPh sb="4" eb="6">
      <t>ニンズウ</t>
    </rPh>
    <phoneticPr fontId="1"/>
  </si>
  <si>
    <t>後期高齢者支援金分</t>
    <rPh sb="0" eb="2">
      <t>コウキ</t>
    </rPh>
    <rPh sb="2" eb="5">
      <t>コウレイシャ</t>
    </rPh>
    <rPh sb="5" eb="7">
      <t>シエン</t>
    </rPh>
    <rPh sb="7" eb="8">
      <t>キン</t>
    </rPh>
    <rPh sb="8" eb="9">
      <t>ブン</t>
    </rPh>
    <phoneticPr fontId="1"/>
  </si>
  <si>
    <t>介護保険料分（４０～６４歳）</t>
    <rPh sb="0" eb="2">
      <t>カイゴ</t>
    </rPh>
    <rPh sb="2" eb="5">
      <t>ホケンリョウ</t>
    </rPh>
    <rPh sb="5" eb="6">
      <t>ブン</t>
    </rPh>
    <rPh sb="12" eb="13">
      <t>サイ</t>
    </rPh>
    <phoneticPr fontId="1"/>
  </si>
  <si>
    <t>年齢区分</t>
    <rPh sb="0" eb="2">
      <t>ネンレイ</t>
    </rPh>
    <rPh sb="2" eb="4">
      <t>クブン</t>
    </rPh>
    <phoneticPr fontId="1"/>
  </si>
  <si>
    <t>端数処理前</t>
    <rPh sb="0" eb="2">
      <t>ハスウ</t>
    </rPh>
    <rPh sb="2" eb="4">
      <t>ショリ</t>
    </rPh>
    <rPh sb="4" eb="5">
      <t>マエ</t>
    </rPh>
    <phoneticPr fontId="1"/>
  </si>
  <si>
    <t>端数処理後</t>
    <rPh sb="0" eb="2">
      <t>ハスウ</t>
    </rPh>
    <rPh sb="2" eb="4">
      <t>ショリ</t>
    </rPh>
    <rPh sb="4" eb="5">
      <t>ゴ</t>
    </rPh>
    <phoneticPr fontId="1"/>
  </si>
  <si>
    <t>１人あたり　１３，４００円</t>
    <rPh sb="1" eb="2">
      <t>ヒト</t>
    </rPh>
    <rPh sb="12" eb="13">
      <t>エン</t>
    </rPh>
    <phoneticPr fontId="1"/>
  </si>
  <si>
    <t>（２人目）</t>
    <phoneticPr fontId="1"/>
  </si>
  <si>
    <t>（１人目）</t>
    <phoneticPr fontId="1"/>
  </si>
  <si>
    <t>１人あたり１５，５００円</t>
    <rPh sb="1" eb="2">
      <t>ヒト</t>
    </rPh>
    <rPh sb="11" eb="12">
      <t>エン</t>
    </rPh>
    <phoneticPr fontId="1"/>
  </si>
  <si>
    <t>燕市国民健康保険税試算シート</t>
    <rPh sb="0" eb="2">
      <t>ツバメシ</t>
    </rPh>
    <rPh sb="2" eb="4">
      <t>コクミン</t>
    </rPh>
    <rPh sb="4" eb="6">
      <t>ケンコウ</t>
    </rPh>
    <rPh sb="6" eb="8">
      <t>ホケン</t>
    </rPh>
    <rPh sb="8" eb="9">
      <t>ゼイ</t>
    </rPh>
    <rPh sb="9" eb="11">
      <t>シサン</t>
    </rPh>
    <phoneticPr fontId="1"/>
  </si>
  <si>
    <t>限度額１７万</t>
    <rPh sb="0" eb="2">
      <t>ゲンド</t>
    </rPh>
    <rPh sb="2" eb="3">
      <t>ガク</t>
    </rPh>
    <rPh sb="5" eb="6">
      <t>マン</t>
    </rPh>
    <phoneticPr fontId="1"/>
  </si>
  <si>
    <t>（単位：円）</t>
    <phoneticPr fontId="1"/>
  </si>
  <si>
    <t>比較用</t>
    <rPh sb="0" eb="3">
      <t>ヒカクヨウ</t>
    </rPh>
    <phoneticPr fontId="1"/>
  </si>
  <si>
    <t>計算値</t>
    <rPh sb="0" eb="3">
      <t>ケイサンチ</t>
    </rPh>
    <phoneticPr fontId="1"/>
  </si>
  <si>
    <t>軽減割合</t>
    <rPh sb="0" eb="2">
      <t>ケイゲン</t>
    </rPh>
    <rPh sb="2" eb="4">
      <t>ワリアイ</t>
    </rPh>
    <phoneticPr fontId="1"/>
  </si>
  <si>
    <t>該当かどうか</t>
    <phoneticPr fontId="1"/>
  </si>
  <si>
    <t>（総所得額－基礎控除４３万円）×２．４０％</t>
    <rPh sb="1" eb="5">
      <t>ソウショトクガク</t>
    </rPh>
    <rPh sb="6" eb="8">
      <t>キソ</t>
    </rPh>
    <rPh sb="8" eb="10">
      <t>コウジョ</t>
    </rPh>
    <rPh sb="12" eb="14">
      <t>マンエン</t>
    </rPh>
    <phoneticPr fontId="1"/>
  </si>
  <si>
    <t>１人あたり　２１，０００円</t>
    <rPh sb="1" eb="2">
      <t>ヒト</t>
    </rPh>
    <rPh sb="12" eb="13">
      <t>エン</t>
    </rPh>
    <phoneticPr fontId="1"/>
  </si>
  <si>
    <t>１世帯あたり　２０，８００円</t>
    <rPh sb="1" eb="3">
      <t>セタイ</t>
    </rPh>
    <rPh sb="13" eb="14">
      <t>エン</t>
    </rPh>
    <phoneticPr fontId="1"/>
  </si>
  <si>
    <t>（総所得額－基礎控除４３万円）×２．５０％</t>
    <rPh sb="1" eb="5">
      <t>ソウショトクガク</t>
    </rPh>
    <rPh sb="6" eb="8">
      <t>キソ</t>
    </rPh>
    <rPh sb="8" eb="10">
      <t>コウジョ</t>
    </rPh>
    <rPh sb="12" eb="14">
      <t>マンエン</t>
    </rPh>
    <phoneticPr fontId="1"/>
  </si>
  <si>
    <t>限度額６５万</t>
    <rPh sb="0" eb="2">
      <t>ゲンド</t>
    </rPh>
    <rPh sb="2" eb="3">
      <t>ガク</t>
    </rPh>
    <rPh sb="5" eb="6">
      <t>マン</t>
    </rPh>
    <phoneticPr fontId="1"/>
  </si>
  <si>
    <t>未就学児の数に応じた均等割の減額</t>
    <rPh sb="0" eb="3">
      <t>ミシュウガク</t>
    </rPh>
    <rPh sb="5" eb="6">
      <t>カズ</t>
    </rPh>
    <rPh sb="7" eb="8">
      <t>オウ</t>
    </rPh>
    <rPh sb="10" eb="12">
      <t>キントウ</t>
    </rPh>
    <rPh sb="12" eb="13">
      <t>ワリ</t>
    </rPh>
    <rPh sb="14" eb="16">
      <t>ゲンガク</t>
    </rPh>
    <phoneticPr fontId="1"/>
  </si>
  <si>
    <t>医療・均等割</t>
    <phoneticPr fontId="1"/>
  </si>
  <si>
    <t>支援・均等割</t>
    <phoneticPr fontId="1"/>
  </si>
  <si>
    <t>人数</t>
    <rPh sb="0" eb="2">
      <t>ニンズウ</t>
    </rPh>
    <phoneticPr fontId="1"/>
  </si>
  <si>
    <t>減額の割合</t>
    <rPh sb="0" eb="2">
      <t>ゲンガク</t>
    </rPh>
    <rPh sb="3" eb="5">
      <t>ワリアイ</t>
    </rPh>
    <phoneticPr fontId="1"/>
  </si>
  <si>
    <t>未就学児の均等割の減額</t>
    <rPh sb="0" eb="4">
      <t>ミシュウガクジ</t>
    </rPh>
    <rPh sb="5" eb="8">
      <t>キントウワ</t>
    </rPh>
    <rPh sb="9" eb="11">
      <t>ゲンガク</t>
    </rPh>
    <phoneticPr fontId="1"/>
  </si>
  <si>
    <t>未就学児減額分</t>
    <rPh sb="0" eb="4">
      <t>ミシュウガクジ</t>
    </rPh>
    <rPh sb="4" eb="6">
      <t>ゲンガク</t>
    </rPh>
    <rPh sb="6" eb="7">
      <t>ブン</t>
    </rPh>
    <phoneticPr fontId="1"/>
  </si>
  <si>
    <t>決定額</t>
    <rPh sb="0" eb="2">
      <t>ケッテイ</t>
    </rPh>
    <rPh sb="2" eb="3">
      <t>ガク</t>
    </rPh>
    <phoneticPr fontId="1"/>
  </si>
  <si>
    <t>未就学児の人数</t>
    <rPh sb="0" eb="4">
      <t>ミシュウガクジ</t>
    </rPh>
    <rPh sb="5" eb="6">
      <t>ニン</t>
    </rPh>
    <rPh sb="6" eb="7">
      <t>カズ</t>
    </rPh>
    <phoneticPr fontId="1"/>
  </si>
  <si>
    <t>給与所得者等の人数</t>
    <rPh sb="0" eb="5">
      <t>キュウヨショトクシャ</t>
    </rPh>
    <rPh sb="5" eb="6">
      <t>トウ</t>
    </rPh>
    <rPh sb="7" eb="8">
      <t>ニン</t>
    </rPh>
    <rPh sb="8" eb="9">
      <t>カズ</t>
    </rPh>
    <phoneticPr fontId="1"/>
  </si>
  <si>
    <t>給与所得者等の人数</t>
    <rPh sb="0" eb="2">
      <t>キュウヨ</t>
    </rPh>
    <rPh sb="2" eb="4">
      <t>ショトク</t>
    </rPh>
    <rPh sb="4" eb="5">
      <t>シャ</t>
    </rPh>
    <rPh sb="5" eb="6">
      <t>トウ</t>
    </rPh>
    <rPh sb="7" eb="8">
      <t>ニン</t>
    </rPh>
    <rPh sb="8" eb="9">
      <t>カズ</t>
    </rPh>
    <phoneticPr fontId="1"/>
  </si>
  <si>
    <t>（総所得額－基礎控除４３万円）×５．８０％</t>
    <rPh sb="1" eb="5">
      <t>ソウショトクガク</t>
    </rPh>
    <rPh sb="6" eb="8">
      <t>キソ</t>
    </rPh>
    <rPh sb="8" eb="10">
      <t>コウジョ</t>
    </rPh>
    <rPh sb="12" eb="14">
      <t>マンエン</t>
    </rPh>
    <phoneticPr fontId="1"/>
  </si>
  <si>
    <t>【試算手順】①～④の順番に入力してください。</t>
    <rPh sb="1" eb="3">
      <t>シサン</t>
    </rPh>
    <rPh sb="3" eb="5">
      <t>テジュン</t>
    </rPh>
    <rPh sb="10" eb="12">
      <t>ジュンバン</t>
    </rPh>
    <rPh sb="13" eb="15">
      <t>ニュウリョク</t>
    </rPh>
    <phoneticPr fontId="1"/>
  </si>
  <si>
    <t>　</t>
    <phoneticPr fontId="1"/>
  </si>
  <si>
    <t>限度額２4万</t>
    <rPh sb="0" eb="2">
      <t>ゲンド</t>
    </rPh>
    <rPh sb="2" eb="3">
      <t>ガク</t>
    </rPh>
    <rPh sb="5" eb="6">
      <t>マン</t>
    </rPh>
    <phoneticPr fontId="1"/>
  </si>
  <si>
    <t>令和6年4月1日更新</t>
    <rPh sb="0" eb="2">
      <t>レイワ</t>
    </rPh>
    <rPh sb="3" eb="4">
      <t>ネン</t>
    </rPh>
    <rPh sb="5" eb="6">
      <t>ガツ</t>
    </rPh>
    <rPh sb="7" eb="8">
      <t>ニチ</t>
    </rPh>
    <rPh sb="8" eb="10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</si>
</sst>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3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color theme="8" tint="-0.249977111117893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9"/>
      <color theme="9" tint="-0.249977111117893"/>
      <name val="ＭＳ Ｐゴシック"/>
      <family val="3"/>
      <charset val="128"/>
      <scheme val="minor"/>
    </font>
    <font>
      <sz val="11"/>
      <color theme="3" tint="-0.249977111117893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Dashed">
        <color rgb="FFFF0000"/>
      </bottom>
      <diagonal/>
    </border>
    <border>
      <left/>
      <right style="mediumDashed">
        <color rgb="FFFF0000"/>
      </right>
      <top style="mediumDashed">
        <color rgb="FFFF0000"/>
      </top>
      <bottom/>
      <diagonal/>
    </border>
    <border>
      <left/>
      <right style="mediumDashed">
        <color rgb="FFFF0000"/>
      </right>
      <top/>
      <bottom/>
      <diagonal/>
    </border>
    <border>
      <left/>
      <right style="mediumDashed">
        <color rgb="FFFF0000"/>
      </right>
      <top/>
      <bottom style="mediumDashed">
        <color rgb="FFFF0000"/>
      </bottom>
      <diagonal/>
    </border>
    <border>
      <left/>
      <right/>
      <top style="mediumDashed">
        <color rgb="FFFF0000"/>
      </top>
      <bottom style="mediumDashed">
        <color rgb="FFFF0000"/>
      </bottom>
      <diagonal/>
    </border>
    <border>
      <left style="mediumDashed">
        <color rgb="FFFF0000"/>
      </left>
      <right/>
      <top style="mediumDashed">
        <color rgb="FFFF0000"/>
      </top>
      <bottom style="mediumDashed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mediumDashed">
        <color rgb="FFFF0000"/>
      </right>
      <top style="mediumDashed">
        <color rgb="FFFF0000"/>
      </top>
      <bottom style="mediumDashed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7" fillId="0" borderId="0" xfId="0" applyFont="1" applyAlignment="1">
      <alignment horizontal="right" vertical="center"/>
    </xf>
    <xf numFmtId="38" fontId="8" fillId="0" borderId="0" xfId="1" applyFont="1" applyFill="1">
      <alignment vertical="center"/>
    </xf>
    <xf numFmtId="38" fontId="4" fillId="0" borderId="0" xfId="1" applyFont="1" applyFill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>
      <alignment vertical="center"/>
    </xf>
    <xf numFmtId="38" fontId="4" fillId="0" borderId="2" xfId="1" applyFont="1" applyBorder="1" applyProtection="1">
      <alignment vertical="center"/>
      <protection hidden="1"/>
    </xf>
    <xf numFmtId="38" fontId="4" fillId="2" borderId="2" xfId="1" applyFont="1" applyFill="1" applyBorder="1" applyProtection="1">
      <alignment vertical="center"/>
      <protection hidden="1"/>
    </xf>
    <xf numFmtId="38" fontId="8" fillId="3" borderId="0" xfId="1" applyFont="1" applyFill="1" applyProtection="1">
      <alignment vertical="center"/>
      <protection hidden="1"/>
    </xf>
    <xf numFmtId="0" fontId="11" fillId="0" borderId="0" xfId="0" applyFont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12" fillId="0" borderId="0" xfId="0" applyFont="1">
      <alignment vertical="center"/>
    </xf>
    <xf numFmtId="38" fontId="12" fillId="0" borderId="0" xfId="0" applyNumberFormat="1" applyFont="1">
      <alignment vertical="center"/>
    </xf>
    <xf numFmtId="0" fontId="13" fillId="0" borderId="0" xfId="0" applyFont="1" applyAlignment="1">
      <alignment horizontal="right" vertical="center"/>
    </xf>
    <xf numFmtId="0" fontId="0" fillId="0" borderId="0" xfId="0" applyFill="1" applyAlignment="1">
      <alignment horizontal="right" vertical="center"/>
    </xf>
    <xf numFmtId="38" fontId="8" fillId="0" borderId="0" xfId="1" applyFont="1" applyFill="1" applyProtection="1">
      <alignment vertical="center"/>
      <protection hidden="1"/>
    </xf>
    <xf numFmtId="38" fontId="4" fillId="4" borderId="0" xfId="1" applyFont="1" applyFill="1" applyProtection="1">
      <alignment vertical="center"/>
    </xf>
    <xf numFmtId="38" fontId="4" fillId="5" borderId="0" xfId="1" applyFont="1" applyFill="1" applyProtection="1">
      <alignment vertical="center"/>
    </xf>
    <xf numFmtId="0" fontId="12" fillId="0" borderId="0" xfId="0" applyFont="1" applyFill="1">
      <alignment vertical="center"/>
    </xf>
    <xf numFmtId="38" fontId="4" fillId="0" borderId="0" xfId="1" applyFont="1" applyFill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12" fillId="6" borderId="0" xfId="0" applyFont="1" applyFill="1">
      <alignment vertical="center"/>
    </xf>
    <xf numFmtId="38" fontId="12" fillId="6" borderId="0" xfId="0" applyNumberFormat="1" applyFont="1" applyFill="1">
      <alignment vertical="center"/>
    </xf>
    <xf numFmtId="0" fontId="12" fillId="7" borderId="0" xfId="0" applyFont="1" applyFill="1">
      <alignment vertical="center"/>
    </xf>
    <xf numFmtId="38" fontId="12" fillId="7" borderId="0" xfId="0" applyNumberFormat="1" applyFont="1" applyFill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15" fillId="0" borderId="0" xfId="0" applyFont="1">
      <alignment vertical="center"/>
    </xf>
    <xf numFmtId="38" fontId="4" fillId="0" borderId="0" xfId="1" applyFont="1" applyFill="1" applyProtection="1">
      <alignment vertical="center"/>
    </xf>
    <xf numFmtId="38" fontId="6" fillId="0" borderId="0" xfId="1" applyFont="1" applyFill="1" applyProtection="1">
      <alignment vertical="center"/>
    </xf>
    <xf numFmtId="38" fontId="4" fillId="0" borderId="4" xfId="1" applyFont="1" applyBorder="1" applyProtection="1">
      <alignment vertical="center"/>
      <protection hidden="1"/>
    </xf>
    <xf numFmtId="38" fontId="4" fillId="0" borderId="0" xfId="1" applyFont="1" applyBorder="1" applyProtection="1">
      <alignment vertical="center"/>
      <protection hidden="1"/>
    </xf>
    <xf numFmtId="3" fontId="12" fillId="0" borderId="0" xfId="0" applyNumberFormat="1" applyFont="1">
      <alignment vertical="center"/>
    </xf>
    <xf numFmtId="38" fontId="4" fillId="0" borderId="5" xfId="1" applyFont="1" applyBorder="1" applyProtection="1">
      <alignment vertical="center"/>
      <protection hidden="1"/>
    </xf>
    <xf numFmtId="38" fontId="4" fillId="0" borderId="6" xfId="1" applyFont="1" applyBorder="1" applyProtection="1">
      <alignment vertical="center"/>
      <protection hidden="1"/>
    </xf>
    <xf numFmtId="0" fontId="0" fillId="0" borderId="4" xfId="0" applyBorder="1" applyProtection="1">
      <alignment vertical="center"/>
      <protection hidden="1"/>
    </xf>
    <xf numFmtId="0" fontId="12" fillId="9" borderId="0" xfId="0" applyFont="1" applyFill="1">
      <alignment vertical="center"/>
    </xf>
    <xf numFmtId="0" fontId="12" fillId="0" borderId="0" xfId="0" applyFont="1" applyBorder="1">
      <alignment vertical="center"/>
    </xf>
    <xf numFmtId="38" fontId="12" fillId="0" borderId="0" xfId="0" applyNumberFormat="1" applyFont="1" applyFill="1">
      <alignment vertical="center"/>
    </xf>
    <xf numFmtId="38" fontId="12" fillId="4" borderId="0" xfId="0" applyNumberFormat="1" applyFont="1" applyFill="1">
      <alignment vertical="center"/>
    </xf>
    <xf numFmtId="0" fontId="12" fillId="0" borderId="0" xfId="0" applyFont="1" applyAlignment="1">
      <alignment horizontal="right" vertical="center"/>
    </xf>
    <xf numFmtId="38" fontId="12" fillId="11" borderId="0" xfId="0" applyNumberFormat="1" applyFont="1" applyFill="1">
      <alignment vertical="center"/>
    </xf>
    <xf numFmtId="38" fontId="4" fillId="11" borderId="0" xfId="1" applyFont="1" applyFill="1" applyProtection="1">
      <alignment vertical="center"/>
    </xf>
    <xf numFmtId="38" fontId="0" fillId="5" borderId="0" xfId="0" applyNumberFormat="1" applyFill="1">
      <alignment vertical="center"/>
    </xf>
    <xf numFmtId="38" fontId="9" fillId="0" borderId="0" xfId="1" applyFont="1" applyFill="1">
      <alignment vertical="center"/>
    </xf>
    <xf numFmtId="0" fontId="11" fillId="0" borderId="0" xfId="0" applyFont="1" applyFill="1" applyBorder="1">
      <alignment vertical="center"/>
    </xf>
    <xf numFmtId="38" fontId="4" fillId="0" borderId="0" xfId="1" applyFont="1" applyFill="1" applyBorder="1" applyProtection="1">
      <alignment vertical="center"/>
      <protection hidden="1"/>
    </xf>
    <xf numFmtId="0" fontId="5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2" fillId="0" borderId="9" xfId="0" applyFont="1" applyBorder="1">
      <alignment vertical="center"/>
    </xf>
    <xf numFmtId="38" fontId="4" fillId="0" borderId="10" xfId="1" applyFont="1" applyBorder="1" applyProtection="1">
      <alignment vertical="center"/>
      <protection hidden="1"/>
    </xf>
    <xf numFmtId="3" fontId="0" fillId="0" borderId="11" xfId="0" applyNumberFormat="1" applyBorder="1">
      <alignment vertical="center"/>
    </xf>
    <xf numFmtId="3" fontId="12" fillId="0" borderId="9" xfId="0" applyNumberFormat="1" applyFont="1" applyBorder="1">
      <alignment vertical="center"/>
    </xf>
    <xf numFmtId="3" fontId="0" fillId="0" borderId="12" xfId="0" applyNumberFormat="1" applyBorder="1">
      <alignment vertical="center"/>
    </xf>
    <xf numFmtId="0" fontId="12" fillId="0" borderId="11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38" fontId="12" fillId="0" borderId="0" xfId="1" applyFont="1">
      <alignment vertical="center"/>
    </xf>
    <xf numFmtId="38" fontId="0" fillId="0" borderId="0" xfId="1" applyFont="1" applyFill="1" applyProtection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6" fillId="0" borderId="0" xfId="0" applyFont="1" applyBorder="1">
      <alignment vertical="center"/>
    </xf>
    <xf numFmtId="38" fontId="0" fillId="0" borderId="0" xfId="0" applyNumberFormat="1">
      <alignment vertical="center"/>
    </xf>
    <xf numFmtId="0" fontId="9" fillId="3" borderId="0" xfId="0" applyFont="1" applyFill="1">
      <alignment vertical="center"/>
    </xf>
    <xf numFmtId="0" fontId="0" fillId="0" borderId="0" xfId="0" applyNumberFormat="1">
      <alignment vertical="center"/>
    </xf>
    <xf numFmtId="0" fontId="0" fillId="6" borderId="0" xfId="0" applyFill="1" applyProtection="1">
      <alignment vertical="center"/>
      <protection locked="0"/>
    </xf>
    <xf numFmtId="0" fontId="0" fillId="6" borderId="0" xfId="0" applyFont="1" applyFill="1" applyProtection="1">
      <alignment vertical="center"/>
      <protection locked="0"/>
    </xf>
    <xf numFmtId="38" fontId="4" fillId="8" borderId="0" xfId="1" applyFont="1" applyFill="1" applyProtection="1">
      <alignment vertical="center"/>
      <protection locked="0"/>
    </xf>
    <xf numFmtId="38" fontId="4" fillId="5" borderId="0" xfId="1" applyFont="1" applyFill="1" applyProtection="1">
      <alignment vertical="center"/>
      <protection locked="0"/>
    </xf>
    <xf numFmtId="0" fontId="0" fillId="13" borderId="0" xfId="0" applyFill="1" applyProtection="1">
      <alignment vertical="center"/>
      <protection locked="0"/>
    </xf>
    <xf numFmtId="0" fontId="0" fillId="0" borderId="18" xfId="0" applyBorder="1">
      <alignment vertical="center"/>
    </xf>
    <xf numFmtId="38" fontId="12" fillId="10" borderId="0" xfId="0" applyNumberFormat="1" applyFont="1" applyFill="1">
      <alignment vertical="center"/>
    </xf>
    <xf numFmtId="0" fontId="1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176" fontId="0" fillId="0" borderId="0" xfId="0" applyNumberFormat="1" applyAlignment="1" applyProtection="1">
      <alignment vertical="center" shrinkToFit="1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horizontal="right" vertical="center"/>
    </xf>
    <xf numFmtId="176" fontId="0" fillId="0" borderId="0" xfId="0" applyNumberFormat="1" applyBorder="1" applyAlignment="1" applyProtection="1">
      <alignment vertical="center" shrinkToFit="1"/>
    </xf>
    <xf numFmtId="0" fontId="9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5" fillId="0" borderId="0" xfId="0" applyFont="1" applyBorder="1" applyProtection="1">
      <alignment vertical="center"/>
    </xf>
    <xf numFmtId="0" fontId="0" fillId="0" borderId="0" xfId="0" applyFill="1" applyProtection="1">
      <alignment vertical="center"/>
    </xf>
    <xf numFmtId="0" fontId="12" fillId="0" borderId="0" xfId="0" applyFont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21" fillId="0" borderId="0" xfId="0" applyFont="1" applyBorder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18" fillId="0" borderId="0" xfId="0" applyFont="1" applyFill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11" borderId="4" xfId="0" applyFill="1" applyBorder="1" applyAlignment="1" applyProtection="1">
      <alignment horizontal="center" vertical="center"/>
    </xf>
    <xf numFmtId="0" fontId="0" fillId="0" borderId="1" xfId="0" applyFill="1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6" xfId="0" applyFill="1" applyBorder="1" applyProtection="1">
      <alignment vertical="center"/>
    </xf>
    <xf numFmtId="0" fontId="0" fillId="11" borderId="7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shrinkToFit="1"/>
    </xf>
    <xf numFmtId="0" fontId="0" fillId="2" borderId="4" xfId="0" applyFill="1" applyBorder="1" applyAlignment="1" applyProtection="1">
      <alignment horizontal="center" vertical="center"/>
    </xf>
    <xf numFmtId="0" fontId="0" fillId="0" borderId="2" xfId="0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38" fontId="9" fillId="0" borderId="0" xfId="1" applyFont="1" applyProtection="1">
      <alignment vertical="center"/>
    </xf>
    <xf numFmtId="38" fontId="9" fillId="0" borderId="0" xfId="1" applyFont="1" applyAlignment="1" applyProtection="1">
      <alignment horizontal="right" vertical="center"/>
    </xf>
    <xf numFmtId="0" fontId="16" fillId="0" borderId="0" xfId="0" applyFont="1" applyProtection="1">
      <alignment vertical="center"/>
    </xf>
    <xf numFmtId="38" fontId="8" fillId="0" borderId="0" xfId="1" applyFont="1" applyFill="1" applyProtection="1">
      <alignment vertical="center"/>
    </xf>
    <xf numFmtId="0" fontId="0" fillId="0" borderId="0" xfId="0" applyFill="1" applyAlignment="1" applyProtection="1">
      <alignment horizontal="right" vertical="center"/>
    </xf>
    <xf numFmtId="0" fontId="17" fillId="0" borderId="0" xfId="0" applyFont="1" applyBorder="1" applyProtection="1">
      <alignment vertical="center"/>
    </xf>
    <xf numFmtId="0" fontId="0" fillId="14" borderId="0" xfId="0" applyFill="1" applyProtection="1">
      <alignment vertical="center"/>
      <protection locked="0"/>
    </xf>
    <xf numFmtId="0" fontId="23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Fill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21" fillId="0" borderId="0" xfId="0" applyFont="1" applyBorder="1" applyAlignment="1" applyProtection="1">
      <alignment vertical="center"/>
    </xf>
    <xf numFmtId="0" fontId="22" fillId="0" borderId="0" xfId="0" applyNumberFormat="1" applyFont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0" fillId="12" borderId="8" xfId="0" applyFill="1" applyBorder="1" applyAlignment="1" applyProtection="1">
      <alignment horizontal="center" vertical="center"/>
    </xf>
    <xf numFmtId="0" fontId="0" fillId="12" borderId="0" xfId="0" applyFill="1" applyBorder="1" applyAlignment="1" applyProtection="1">
      <alignment horizontal="center" vertical="center"/>
    </xf>
    <xf numFmtId="38" fontId="0" fillId="0" borderId="0" xfId="1" applyFont="1" applyFill="1" applyAlignment="1" applyProtection="1">
      <alignment horizontal="right" vertical="center"/>
    </xf>
    <xf numFmtId="0" fontId="0" fillId="0" borderId="0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867834</xdr:colOff>
      <xdr:row>25</xdr:row>
      <xdr:rowOff>95251</xdr:rowOff>
    </xdr:from>
    <xdr:to>
      <xdr:col>7</xdr:col>
      <xdr:colOff>423334</xdr:colOff>
      <xdr:row>25</xdr:row>
      <xdr:rowOff>95251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248F3817-7483-4CFA-9A03-5DBD87005B3D}"/>
            </a:ext>
          </a:extLst>
        </xdr:cNvPr>
        <xdr:cNvCxnSpPr/>
      </xdr:nvCxnSpPr>
      <xdr:spPr>
        <a:xfrm flipH="1">
          <a:off x="5503334" y="3333751"/>
          <a:ext cx="613833" cy="0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1439327</xdr:colOff>
      <xdr:row>21</xdr:row>
      <xdr:rowOff>74080</xdr:rowOff>
    </xdr:from>
    <xdr:to>
      <xdr:col>4</xdr:col>
      <xdr:colOff>126999</xdr:colOff>
      <xdr:row>21</xdr:row>
      <xdr:rowOff>84665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248F3817-7483-4CFA-9A03-5DBD87005B3D}"/>
            </a:ext>
          </a:extLst>
        </xdr:cNvPr>
        <xdr:cNvCxnSpPr/>
      </xdr:nvCxnSpPr>
      <xdr:spPr>
        <a:xfrm>
          <a:off x="2349494" y="2942163"/>
          <a:ext cx="2286005" cy="10585"/>
        </a:xfrm>
        <a:prstGeom prst="straightConnector1">
          <a:avLst/>
        </a:prstGeom>
        <a:ln w="28575">
          <a:solidFill>
            <a:schemeClr val="accent1"/>
          </a:solidFill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137583</xdr:colOff>
      <xdr:row>3</xdr:row>
      <xdr:rowOff>113243</xdr:rowOff>
    </xdr:from>
    <xdr:to>
      <xdr:col>2</xdr:col>
      <xdr:colOff>1767416</xdr:colOff>
      <xdr:row>15</xdr:row>
      <xdr:rowOff>21166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ACAE765-499A-4F82-A33B-DFF5E9C5D7B2}"/>
            </a:ext>
          </a:extLst>
        </xdr:cNvPr>
        <xdr:cNvSpPr txBox="1"/>
      </xdr:nvSpPr>
      <xdr:spPr>
        <a:xfrm>
          <a:off x="137583" y="1033993"/>
          <a:ext cx="2540000" cy="1177923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400" b="1"/>
            <a:t>①</a:t>
          </a:r>
          <a:r>
            <a:rPr kumimoji="1" lang="ja-JP" altLang="en-US" sz="1100"/>
            <a:t>国民健康保険加入者の</a:t>
          </a:r>
          <a:r>
            <a:rPr kumimoji="1" lang="ja-JP" altLang="en-US" sz="1100" b="1">
              <a:solidFill>
                <a:srgbClr val="FF0000"/>
              </a:solidFill>
            </a:rPr>
            <a:t>年齢区分</a:t>
          </a:r>
          <a:r>
            <a:rPr kumimoji="1" lang="ja-JP" altLang="en-US" sz="1100" b="0">
              <a:solidFill>
                <a:sysClr val="windowText" lastClr="000000"/>
              </a:solidFill>
            </a:rPr>
            <a:t>を選択し、</a:t>
          </a:r>
          <a:r>
            <a:rPr kumimoji="1" lang="ja-JP" altLang="en-US" sz="1100" b="1">
              <a:solidFill>
                <a:schemeClr val="accent1"/>
              </a:solidFill>
            </a:rPr>
            <a:t>総所得額</a:t>
          </a:r>
          <a:r>
            <a:rPr kumimoji="1" lang="ja-JP" altLang="en-US" sz="1100"/>
            <a:t>を入力してください。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総所得額０円以下の場合は「０」と入力してください。</a:t>
          </a:r>
        </a:p>
      </xdr:txBody>
    </xdr:sp>
    <xdr:clientData/>
  </xdr:twoCellAnchor>
  <xdr:twoCellAnchor editAs="absolute">
    <xdr:from>
      <xdr:col>0</xdr:col>
      <xdr:colOff>158750</xdr:colOff>
      <xdr:row>37</xdr:row>
      <xdr:rowOff>137582</xdr:rowOff>
    </xdr:from>
    <xdr:to>
      <xdr:col>13</xdr:col>
      <xdr:colOff>127000</xdr:colOff>
      <xdr:row>55</xdr:row>
      <xdr:rowOff>105833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B0178B5-70B1-458D-AF2B-3F9D2083D192}"/>
            </a:ext>
          </a:extLst>
        </xdr:cNvPr>
        <xdr:cNvSpPr txBox="1"/>
      </xdr:nvSpPr>
      <xdr:spPr>
        <a:xfrm>
          <a:off x="158750" y="5598582"/>
          <a:ext cx="11811000" cy="3005668"/>
        </a:xfrm>
        <a:prstGeom prst="rect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≪注意事項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≫</a:t>
          </a:r>
          <a:endParaRPr kumimoji="1" lang="en-US" altLang="ja-JP" sz="1100"/>
        </a:p>
        <a:p>
          <a:r>
            <a:rPr kumimoji="1" lang="ja-JP" altLang="en-US" sz="1100" u="sng"/>
            <a:t>上記結果はあくまでも試算であり、実際の保険税額と異なる場合があります。</a:t>
          </a:r>
          <a:endParaRPr kumimoji="1" lang="en-US" altLang="ja-JP" sz="1100" u="sng"/>
        </a:p>
        <a:p>
          <a:endParaRPr kumimoji="1" lang="en-US" altLang="ja-JP" sz="1100" u="none"/>
        </a:p>
        <a:p>
          <a:r>
            <a:rPr kumimoji="1" lang="ja-JP" altLang="en-US" sz="1100" u="none"/>
            <a:t>次のいずれかに該当する場合は、正しい保険税が計算されませんので、税務課市民税２係までお問合せください。</a:t>
          </a:r>
          <a:endParaRPr kumimoji="1" lang="en-US" altLang="ja-JP" sz="1100" u="none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・年度途中に加入者の所得や人数が変わる場合</a:t>
          </a:r>
          <a:endParaRPr lang="ja-JP" altLang="ja-JP" sz="11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・年度途中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に加入者が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４０歳、６５歳、７５歳になる場合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・７５歳到達前に国保に加入していた方がいる世帯</a:t>
          </a:r>
          <a:endParaRPr lang="ja-JP" altLang="ja-JP" sz="11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・介護保険適用除外施設に入所している場合</a:t>
          </a:r>
          <a:endParaRPr lang="ja-JP" altLang="ja-JP" sz="1100">
            <a:effectLst/>
          </a:endParaRPr>
        </a:p>
        <a:p>
          <a:r>
            <a:rPr kumimoji="1" lang="ja-JP" altLang="en-US" sz="1100"/>
            <a:t>・分離課税所得がある場合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専従者控除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がある場合</a:t>
          </a:r>
          <a:endParaRPr kumimoji="1" lang="en-US" altLang="ja-JP" sz="1100"/>
        </a:p>
        <a:p>
          <a:r>
            <a:rPr kumimoji="1" lang="ja-JP" altLang="en-US" sz="1100"/>
            <a:t>・年金所得がある場合</a:t>
          </a:r>
          <a:endParaRPr kumimoji="1" lang="en-US" altLang="ja-JP" sz="1100"/>
        </a:p>
        <a:p>
          <a:r>
            <a:rPr kumimoji="1" lang="ja-JP" altLang="en-US" sz="1100"/>
            <a:t>・所得を申告していない場合</a:t>
          </a:r>
          <a:endParaRPr kumimoji="1" lang="en-US" altLang="ja-JP" sz="1100"/>
        </a:p>
        <a:p>
          <a:r>
            <a:rPr kumimoji="1" lang="ja-JP" altLang="en-US" sz="1100"/>
            <a:t>・６５歳未満で非自発失業者（雇用保険の特定受給資格者・特定理由離職者）に該当する場合</a:t>
          </a:r>
          <a:endParaRPr kumimoji="1" lang="en-US" altLang="ja-JP" sz="1100"/>
        </a:p>
        <a:p>
          <a:r>
            <a:rPr kumimoji="1" lang="ja-JP" altLang="en-US" sz="1100"/>
            <a:t>・合計所得金額が２</a:t>
          </a:r>
          <a:r>
            <a:rPr kumimoji="1" lang="en-US" altLang="ja-JP" sz="1100"/>
            <a:t>,</a:t>
          </a:r>
          <a:r>
            <a:rPr kumimoji="1" lang="ja-JP" altLang="en-US" sz="1100"/>
            <a:t>４００万円を超える場合</a:t>
          </a:r>
          <a:endParaRPr kumimoji="1" lang="en-US" altLang="ja-JP" sz="1100"/>
        </a:p>
      </xdr:txBody>
    </xdr:sp>
    <xdr:clientData/>
  </xdr:twoCellAnchor>
  <xdr:twoCellAnchor editAs="absolute">
    <xdr:from>
      <xdr:col>0</xdr:col>
      <xdr:colOff>137583</xdr:colOff>
      <xdr:row>17</xdr:row>
      <xdr:rowOff>21166</xdr:rowOff>
    </xdr:from>
    <xdr:to>
      <xdr:col>2</xdr:col>
      <xdr:colOff>1746250</xdr:colOff>
      <xdr:row>25</xdr:row>
      <xdr:rowOff>190500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81875C2-015A-4320-A724-F4DA22C1E8B2}"/>
            </a:ext>
          </a:extLst>
        </xdr:cNvPr>
        <xdr:cNvSpPr txBox="1"/>
      </xdr:nvSpPr>
      <xdr:spPr>
        <a:xfrm>
          <a:off x="137583" y="2423583"/>
          <a:ext cx="2518834" cy="105833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400" b="1" u="none" baseline="0">
              <a:solidFill>
                <a:sysClr val="windowText" lastClr="000000"/>
              </a:solidFill>
              <a:uFill>
                <a:solidFill>
                  <a:schemeClr val="accent6">
                    <a:lumMod val="75000"/>
                  </a:schemeClr>
                </a:solidFill>
              </a:uFill>
            </a:rPr>
            <a:t>②</a:t>
          </a:r>
          <a:r>
            <a:rPr kumimoji="1" lang="en-US" altLang="ja-JP" sz="1100" b="1" u="none" baseline="0">
              <a:solidFill>
                <a:srgbClr val="FF0000"/>
              </a:solidFill>
              <a:uFill>
                <a:solidFill>
                  <a:schemeClr val="accent6">
                    <a:lumMod val="75000"/>
                  </a:schemeClr>
                </a:solidFill>
              </a:uFill>
            </a:rPr>
            <a:t>【</a:t>
          </a:r>
          <a:r>
            <a:rPr kumimoji="1" lang="ja-JP" altLang="en-US" sz="1100" b="1" u="none" baseline="0">
              <a:solidFill>
                <a:srgbClr val="FF0000"/>
              </a:solidFill>
              <a:uFill>
                <a:solidFill>
                  <a:schemeClr val="accent6">
                    <a:lumMod val="75000"/>
                  </a:schemeClr>
                </a:solidFill>
              </a:uFill>
            </a:rPr>
            <a:t>世帯主が加入者でない場合のみ入力</a:t>
          </a:r>
          <a:r>
            <a:rPr kumimoji="1" lang="en-US" altLang="ja-JP" sz="1100" b="1" u="none" baseline="0">
              <a:solidFill>
                <a:srgbClr val="FF0000"/>
              </a:solidFill>
              <a:uFill>
                <a:solidFill>
                  <a:schemeClr val="accent6">
                    <a:lumMod val="75000"/>
                  </a:schemeClr>
                </a:solidFill>
              </a:uFill>
            </a:rPr>
            <a:t>】</a:t>
          </a:r>
        </a:p>
        <a:p>
          <a:r>
            <a:rPr kumimoji="1" lang="ja-JP" altLang="en-US" sz="1100"/>
            <a:t>世帯主の</a:t>
          </a:r>
          <a:r>
            <a:rPr kumimoji="1" lang="ja-JP" altLang="en-US" sz="1100" b="1">
              <a:solidFill>
                <a:schemeClr val="tx2">
                  <a:lumMod val="60000"/>
                  <a:lumOff val="40000"/>
                </a:schemeClr>
              </a:solidFill>
            </a:rPr>
            <a:t>総所得額</a:t>
          </a:r>
          <a:r>
            <a:rPr kumimoji="1" lang="ja-JP" altLang="en-US" sz="1100"/>
            <a:t>を入力してください。</a:t>
          </a:r>
        </a:p>
      </xdr:txBody>
    </xdr:sp>
    <xdr:clientData/>
  </xdr:twoCellAnchor>
  <xdr:twoCellAnchor editAs="absolute">
    <xdr:from>
      <xdr:col>7</xdr:col>
      <xdr:colOff>26460</xdr:colOff>
      <xdr:row>1</xdr:row>
      <xdr:rowOff>21167</xdr:rowOff>
    </xdr:from>
    <xdr:to>
      <xdr:col>13</xdr:col>
      <xdr:colOff>158748</xdr:colOff>
      <xdr:row>19</xdr:row>
      <xdr:rowOff>74085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4DED9AB-92B2-442C-A23B-1D738BEF6387}"/>
            </a:ext>
          </a:extLst>
        </xdr:cNvPr>
        <xdr:cNvSpPr txBox="1"/>
      </xdr:nvSpPr>
      <xdr:spPr>
        <a:xfrm>
          <a:off x="5720293" y="550334"/>
          <a:ext cx="6281205" cy="2137834"/>
        </a:xfrm>
        <a:prstGeom prst="rect">
          <a:avLst/>
        </a:prstGeom>
        <a:ln w="38100" cmpd="dbl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「総所得額」について</a:t>
          </a:r>
          <a:r>
            <a:rPr lang="ja-JP" altLang="en-US"/>
            <a:t>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所得割の計算には、前年の給与・年金・事業所得と、分離課税される土地の譲渡所得などの合計を用います。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なお、退職所得は、「総所得額」に含みません。</a:t>
          </a:r>
          <a:r>
            <a:rPr lang="ja-JP" altLang="en-US"/>
            <a:t> </a:t>
          </a:r>
          <a:endParaRPr lang="en-US" altLang="ja-JP"/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・給与所得＝給与収入金額－給与所得控除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・年金所得＝公的年金収入金額－公的年金等控除（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遺族年金、障害者年金等の非課税年金は年金所得に含みません。）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・事業所得＝事業収入金額－必要経費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・土地等譲渡所得＝譲渡所得金額－特別控除</a:t>
          </a:r>
          <a:r>
            <a:rPr lang="ja-JP" altLang="en-US"/>
            <a:t>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7</xdr:col>
      <xdr:colOff>254000</xdr:colOff>
      <xdr:row>19</xdr:row>
      <xdr:rowOff>158750</xdr:rowOff>
    </xdr:from>
    <xdr:to>
      <xdr:col>13</xdr:col>
      <xdr:colOff>158750</xdr:colOff>
      <xdr:row>23</xdr:row>
      <xdr:rowOff>52920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81875C2-015A-4320-A724-F4DA22C1E8B2}"/>
            </a:ext>
          </a:extLst>
        </xdr:cNvPr>
        <xdr:cNvSpPr txBox="1"/>
      </xdr:nvSpPr>
      <xdr:spPr>
        <a:xfrm>
          <a:off x="5947833" y="2772833"/>
          <a:ext cx="6053667" cy="359837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400" b="1" u="none" baseline="0">
              <a:uFill>
                <a:solidFill>
                  <a:schemeClr val="accent6">
                    <a:lumMod val="75000"/>
                  </a:schemeClr>
                </a:solidFill>
              </a:uFill>
            </a:rPr>
            <a:t>③</a:t>
          </a:r>
          <a:r>
            <a:rPr kumimoji="1" lang="ja-JP" altLang="en-US" sz="1100" u="none" baseline="0">
              <a:uFill>
                <a:solidFill>
                  <a:schemeClr val="accent6">
                    <a:lumMod val="75000"/>
                  </a:schemeClr>
                </a:solidFill>
              </a:uFill>
            </a:rPr>
            <a:t>加入者と世帯主のうち、給与所得者もしくは年金所得者の</a:t>
          </a:r>
          <a:r>
            <a:rPr kumimoji="1" lang="ja-JP" altLang="en-US" sz="1100" b="1" u="none" baseline="0">
              <a:solidFill>
                <a:schemeClr val="tx2">
                  <a:lumMod val="60000"/>
                  <a:lumOff val="40000"/>
                </a:schemeClr>
              </a:solidFill>
              <a:uFill>
                <a:solidFill>
                  <a:schemeClr val="accent6">
                    <a:lumMod val="75000"/>
                  </a:schemeClr>
                </a:solidFill>
              </a:uFill>
            </a:rPr>
            <a:t>合計人数</a:t>
          </a:r>
          <a:r>
            <a:rPr kumimoji="1" lang="ja-JP" altLang="en-US" sz="1100" u="none" baseline="0">
              <a:uFill>
                <a:solidFill>
                  <a:schemeClr val="accent6">
                    <a:lumMod val="75000"/>
                  </a:schemeClr>
                </a:solidFill>
              </a:uFill>
            </a:rPr>
            <a:t>を入力してください。</a:t>
          </a:r>
          <a:endParaRPr kumimoji="1" lang="ja-JP" altLang="en-US" sz="1100" u="none"/>
        </a:p>
      </xdr:txBody>
    </xdr:sp>
    <xdr:clientData/>
  </xdr:twoCellAnchor>
  <xdr:twoCellAnchor>
    <xdr:from>
      <xdr:col>5</xdr:col>
      <xdr:colOff>867834</xdr:colOff>
      <xdr:row>21</xdr:row>
      <xdr:rowOff>84669</xdr:rowOff>
    </xdr:from>
    <xdr:to>
      <xdr:col>7</xdr:col>
      <xdr:colOff>254000</xdr:colOff>
      <xdr:row>23</xdr:row>
      <xdr:rowOff>74083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248F3817-7483-4CFA-9A03-5DBD87005B3D}"/>
            </a:ext>
          </a:extLst>
        </xdr:cNvPr>
        <xdr:cNvCxnSpPr>
          <a:stCxn id="10" idx="1"/>
        </xdr:cNvCxnSpPr>
      </xdr:nvCxnSpPr>
      <xdr:spPr>
        <a:xfrm flipH="1">
          <a:off x="5503334" y="2952752"/>
          <a:ext cx="444499" cy="201081"/>
        </a:xfrm>
        <a:prstGeom prst="straightConnector1">
          <a:avLst/>
        </a:prstGeom>
        <a:ln w="28575">
          <a:solidFill>
            <a:schemeClr val="accent3"/>
          </a:solidFill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254000</xdr:colOff>
      <xdr:row>23</xdr:row>
      <xdr:rowOff>84670</xdr:rowOff>
    </xdr:from>
    <xdr:to>
      <xdr:col>13</xdr:col>
      <xdr:colOff>158750</xdr:colOff>
      <xdr:row>26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81875C2-015A-4320-A724-F4DA22C1E8B2}"/>
            </a:ext>
          </a:extLst>
        </xdr:cNvPr>
        <xdr:cNvSpPr txBox="1"/>
      </xdr:nvSpPr>
      <xdr:spPr>
        <a:xfrm>
          <a:off x="5947833" y="3164420"/>
          <a:ext cx="6053667" cy="328080"/>
        </a:xfrm>
        <a:prstGeom prst="rect">
          <a:avLst/>
        </a:prstGeom>
        <a:ln>
          <a:solidFill>
            <a:schemeClr val="accent6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400" b="1" u="none" baseline="0">
              <a:solidFill>
                <a:sysClr val="windowText" lastClr="000000"/>
              </a:solidFill>
              <a:uFill>
                <a:solidFill>
                  <a:schemeClr val="accent6">
                    <a:lumMod val="75000"/>
                  </a:schemeClr>
                </a:solidFill>
              </a:uFill>
            </a:rPr>
            <a:t>④</a:t>
          </a:r>
          <a:r>
            <a:rPr kumimoji="1" lang="en-US" altLang="ja-JP" sz="1100" b="1" u="none" baseline="0">
              <a:solidFill>
                <a:srgbClr val="FF0000"/>
              </a:solidFill>
              <a:uFill>
                <a:solidFill>
                  <a:schemeClr val="accent6">
                    <a:lumMod val="75000"/>
                  </a:schemeClr>
                </a:solidFill>
              </a:uFill>
            </a:rPr>
            <a:t>【</a:t>
          </a:r>
          <a:r>
            <a:rPr kumimoji="1" lang="ja-JP" altLang="en-US" sz="1100" b="1" u="none" baseline="0">
              <a:solidFill>
                <a:srgbClr val="FF0000"/>
              </a:solidFill>
              <a:uFill>
                <a:solidFill>
                  <a:schemeClr val="accent6">
                    <a:lumMod val="75000"/>
                  </a:schemeClr>
                </a:solidFill>
              </a:uFill>
            </a:rPr>
            <a:t>加入者の中に未就学児がいる場合のみ入力</a:t>
          </a:r>
          <a:r>
            <a:rPr kumimoji="1" lang="en-US" altLang="ja-JP" sz="1100" b="1" u="none" baseline="0">
              <a:solidFill>
                <a:srgbClr val="FF0000"/>
              </a:solidFill>
              <a:uFill>
                <a:solidFill>
                  <a:schemeClr val="accent6">
                    <a:lumMod val="75000"/>
                  </a:schemeClr>
                </a:solidFill>
              </a:uFill>
            </a:rPr>
            <a:t>】</a:t>
          </a:r>
          <a:r>
            <a:rPr kumimoji="1" lang="ja-JP" altLang="en-US" sz="1100" u="none" baseline="0">
              <a:uFill>
                <a:solidFill>
                  <a:schemeClr val="accent6">
                    <a:lumMod val="75000"/>
                  </a:schemeClr>
                </a:solidFill>
              </a:uFill>
            </a:rPr>
            <a:t>未就学児の</a:t>
          </a:r>
          <a:r>
            <a:rPr kumimoji="1" lang="ja-JP" altLang="en-US" sz="1100" b="1" u="none" baseline="0">
              <a:solidFill>
                <a:schemeClr val="tx2">
                  <a:lumMod val="60000"/>
                  <a:lumOff val="40000"/>
                </a:schemeClr>
              </a:solidFill>
              <a:uFill>
                <a:solidFill>
                  <a:schemeClr val="accent6">
                    <a:lumMod val="75000"/>
                  </a:schemeClr>
                </a:solidFill>
              </a:uFill>
            </a:rPr>
            <a:t>合計人数</a:t>
          </a:r>
          <a:r>
            <a:rPr kumimoji="1" lang="ja-JP" altLang="en-US" sz="1100" u="none" baseline="0">
              <a:uFill>
                <a:solidFill>
                  <a:schemeClr val="accent6">
                    <a:lumMod val="75000"/>
                  </a:schemeClr>
                </a:solidFill>
              </a:uFill>
            </a:rPr>
            <a:t>を入力してください。</a:t>
          </a:r>
          <a:endParaRPr kumimoji="1" lang="ja-JP" altLang="en-US" sz="1100" u="non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161926</xdr:colOff>
      <xdr:row>15</xdr:row>
      <xdr:rowOff>161924</xdr:rowOff>
    </xdr:from>
    <xdr:to>
      <xdr:col>17</xdr:col>
      <xdr:colOff>323850</xdr:colOff>
      <xdr:row>37</xdr:row>
      <xdr:rowOff>76200</xdr:rowOff>
    </xdr:to>
    <xdr:sp macro="" textlink="">
      <xdr:nvSpPr>
        <xdr:cNvPr id="21" name="雲形吹き出し 20">
          <a:extLst>
            <a:ext uri="{FF2B5EF4-FFF2-40B4-BE49-F238E27FC236}">
              <a16:creationId xmlns:a16="http://schemas.microsoft.com/office/drawing/2014/main" id="{AECAABAD-8579-454F-B8E5-CCAE9CFF65B0}"/>
            </a:ext>
          </a:extLst>
        </xdr:cNvPr>
        <xdr:cNvSpPr/>
      </xdr:nvSpPr>
      <xdr:spPr>
        <a:xfrm>
          <a:off x="9505951" y="1943099"/>
          <a:ext cx="3533774" cy="2619376"/>
        </a:xfrm>
        <a:prstGeom prst="cloudCallou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9</xdr:col>
      <xdr:colOff>581025</xdr:colOff>
      <xdr:row>57</xdr:row>
      <xdr:rowOff>228600</xdr:rowOff>
    </xdr:from>
    <xdr:ext cx="1419225" cy="6572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900FEDC-4531-41EA-8D82-509E6471C197}"/>
            </a:ext>
          </a:extLst>
        </xdr:cNvPr>
        <xdr:cNvSpPr txBox="1"/>
      </xdr:nvSpPr>
      <xdr:spPr>
        <a:xfrm>
          <a:off x="6810375" y="7820025"/>
          <a:ext cx="1419225" cy="6572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軽減判定基準が改正されたらこの式を直す</a:t>
          </a:r>
        </a:p>
      </xdr:txBody>
    </xdr:sp>
    <xdr:clientData/>
  </xdr:oneCellAnchor>
  <xdr:twoCellAnchor>
    <xdr:from>
      <xdr:col>9</xdr:col>
      <xdr:colOff>838200</xdr:colOff>
      <xdr:row>55</xdr:row>
      <xdr:rowOff>219075</xdr:rowOff>
    </xdr:from>
    <xdr:to>
      <xdr:col>10</xdr:col>
      <xdr:colOff>195263</xdr:colOff>
      <xdr:row>57</xdr:row>
      <xdr:rowOff>228600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A1C6109E-0BE7-4481-8A54-4C4B21DA5273}"/>
            </a:ext>
          </a:extLst>
        </xdr:cNvPr>
        <xdr:cNvCxnSpPr>
          <a:stCxn id="2" idx="0"/>
        </xdr:cNvCxnSpPr>
      </xdr:nvCxnSpPr>
      <xdr:spPr>
        <a:xfrm flipH="1" flipV="1">
          <a:off x="7067550" y="7353300"/>
          <a:ext cx="452438" cy="466725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85725</xdr:colOff>
      <xdr:row>43</xdr:row>
      <xdr:rowOff>66675</xdr:rowOff>
    </xdr:from>
    <xdr:ext cx="1533525" cy="80962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63C330E-1B6F-412E-AFDB-00716A0C0761}"/>
            </a:ext>
          </a:extLst>
        </xdr:cNvPr>
        <xdr:cNvSpPr txBox="1"/>
      </xdr:nvSpPr>
      <xdr:spPr>
        <a:xfrm>
          <a:off x="11277600" y="5238750"/>
          <a:ext cx="1533525" cy="8096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税率が変わった場合はここの計算式・数字を直す</a:t>
          </a:r>
        </a:p>
      </xdr:txBody>
    </xdr:sp>
    <xdr:clientData/>
  </xdr:oneCellAnchor>
  <xdr:oneCellAnchor>
    <xdr:from>
      <xdr:col>3</xdr:col>
      <xdr:colOff>133350</xdr:colOff>
      <xdr:row>49</xdr:row>
      <xdr:rowOff>57150</xdr:rowOff>
    </xdr:from>
    <xdr:ext cx="1533525" cy="94297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7FBB210-8FF3-4719-98DE-18D0B1232820}"/>
            </a:ext>
          </a:extLst>
        </xdr:cNvPr>
        <xdr:cNvSpPr txBox="1"/>
      </xdr:nvSpPr>
      <xdr:spPr>
        <a:xfrm>
          <a:off x="2190750" y="6143625"/>
          <a:ext cx="1533525" cy="9429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税率が変わった場合はこの計算式の平等割の合計額の数字を直す。</a:t>
          </a:r>
        </a:p>
      </xdr:txBody>
    </xdr:sp>
    <xdr:clientData/>
  </xdr:oneCellAnchor>
  <xdr:twoCellAnchor>
    <xdr:from>
      <xdr:col>5</xdr:col>
      <xdr:colOff>323850</xdr:colOff>
      <xdr:row>53</xdr:row>
      <xdr:rowOff>123825</xdr:rowOff>
    </xdr:from>
    <xdr:to>
      <xdr:col>7</xdr:col>
      <xdr:colOff>66675</xdr:colOff>
      <xdr:row>55</xdr:row>
      <xdr:rowOff>9525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8C7E9E40-1E8C-4333-A6F7-43215D849D09}"/>
            </a:ext>
          </a:extLst>
        </xdr:cNvPr>
        <xdr:cNvCxnSpPr/>
      </xdr:nvCxnSpPr>
      <xdr:spPr>
        <a:xfrm>
          <a:off x="3752850" y="6896100"/>
          <a:ext cx="1114425" cy="22860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171450</xdr:colOff>
      <xdr:row>57</xdr:row>
      <xdr:rowOff>38100</xdr:rowOff>
    </xdr:from>
    <xdr:ext cx="1533525" cy="94297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2CFD81C-786B-43B5-9030-0C1071FAE909}"/>
            </a:ext>
          </a:extLst>
        </xdr:cNvPr>
        <xdr:cNvSpPr txBox="1"/>
      </xdr:nvSpPr>
      <xdr:spPr>
        <a:xfrm>
          <a:off x="2228850" y="7629525"/>
          <a:ext cx="1533525" cy="9429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税率が変わった場合はこの計算式の平等割の合計額の</a:t>
          </a:r>
          <a:r>
            <a:rPr kumimoji="1" lang="en-US" altLang="ja-JP" sz="1100"/>
            <a:t>1/12</a:t>
          </a:r>
          <a:r>
            <a:rPr kumimoji="1" lang="ja-JP" altLang="en-US" sz="1100"/>
            <a:t>の数字を直す。</a:t>
          </a:r>
        </a:p>
      </xdr:txBody>
    </xdr:sp>
    <xdr:clientData/>
  </xdr:oneCellAnchor>
  <xdr:twoCellAnchor>
    <xdr:from>
      <xdr:col>5</xdr:col>
      <xdr:colOff>333375</xdr:colOff>
      <xdr:row>58</xdr:row>
      <xdr:rowOff>9526</xdr:rowOff>
    </xdr:from>
    <xdr:to>
      <xdr:col>7</xdr:col>
      <xdr:colOff>381000</xdr:colOff>
      <xdr:row>59</xdr:row>
      <xdr:rowOff>100013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9221F9DA-9F41-426C-B92A-DCB4E0C7F633}"/>
            </a:ext>
          </a:extLst>
        </xdr:cNvPr>
        <xdr:cNvCxnSpPr>
          <a:stCxn id="13" idx="3"/>
        </xdr:cNvCxnSpPr>
      </xdr:nvCxnSpPr>
      <xdr:spPr>
        <a:xfrm flipV="1">
          <a:off x="3762375" y="7839076"/>
          <a:ext cx="1419225" cy="261937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885825</xdr:colOff>
      <xdr:row>48</xdr:row>
      <xdr:rowOff>161925</xdr:rowOff>
    </xdr:from>
    <xdr:to>
      <xdr:col>15</xdr:col>
      <xdr:colOff>228600</xdr:colOff>
      <xdr:row>53</xdr:row>
      <xdr:rowOff>152400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A444CF60-C4ED-4BF4-B5E2-7A6C19879398}"/>
            </a:ext>
          </a:extLst>
        </xdr:cNvPr>
        <xdr:cNvCxnSpPr/>
      </xdr:nvCxnSpPr>
      <xdr:spPr>
        <a:xfrm flipH="1">
          <a:off x="11153775" y="6076950"/>
          <a:ext cx="266700" cy="847725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857250</xdr:colOff>
      <xdr:row>21</xdr:row>
      <xdr:rowOff>95250</xdr:rowOff>
    </xdr:from>
    <xdr:ext cx="2428875" cy="160020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9EAE14B7-BD23-4AE7-8639-A9867C92E6D8}"/>
            </a:ext>
          </a:extLst>
        </xdr:cNvPr>
        <xdr:cNvSpPr txBox="1"/>
      </xdr:nvSpPr>
      <xdr:spPr>
        <a:xfrm>
          <a:off x="10201275" y="2571750"/>
          <a:ext cx="2428875" cy="1600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 b="1"/>
            <a:t>「国保税の計算シート」の修正箇所</a:t>
          </a:r>
          <a:endParaRPr kumimoji="1" lang="en-US" altLang="ja-JP" sz="1100" b="1"/>
        </a:p>
        <a:p>
          <a:r>
            <a:rPr kumimoji="1" lang="ja-JP" altLang="en-US" sz="1100"/>
            <a:t>○税率改正のとき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100"/>
            <a:t>C29</a:t>
          </a:r>
          <a:r>
            <a:rPr kumimoji="1" lang="ja-JP" altLang="en-US" sz="1100"/>
            <a:t>・</a:t>
          </a:r>
          <a:r>
            <a:rPr kumimoji="1" lang="en-US" altLang="ja-JP" sz="1100"/>
            <a:t>C30</a:t>
          </a:r>
          <a:r>
            <a:rPr kumimoji="1" lang="ja-JP" altLang="en-US" sz="1100"/>
            <a:t>・</a:t>
          </a:r>
          <a:r>
            <a:rPr kumimoji="1" lang="en-US" altLang="ja-JP" sz="1100"/>
            <a:t>C31</a:t>
          </a:r>
          <a:r>
            <a:rPr kumimoji="1" lang="ja-JP" altLang="en-US" sz="1100"/>
            <a:t>・</a:t>
          </a:r>
          <a:r>
            <a:rPr kumimoji="1" lang="en-US" altLang="ja-JP" sz="1100"/>
            <a:t>F29</a:t>
          </a:r>
          <a:r>
            <a:rPr kumimoji="1" lang="ja-JP" altLang="en-US" sz="1100"/>
            <a:t>・</a:t>
          </a:r>
          <a:r>
            <a:rPr kumimoji="1" lang="en-US" altLang="ja-JP" sz="1100"/>
            <a:t>F30</a:t>
          </a:r>
          <a:r>
            <a:rPr kumimoji="1" lang="ja-JP" altLang="en-US" sz="1100"/>
            <a:t>・</a:t>
          </a:r>
          <a:r>
            <a:rPr kumimoji="1" lang="en-US" altLang="ja-JP" sz="1100"/>
            <a:t>F31</a:t>
          </a:r>
          <a:r>
            <a:rPr kumimoji="1" lang="ja-JP" altLang="en-US" sz="1100"/>
            <a:t>・</a:t>
          </a:r>
          <a:r>
            <a:rPr kumimoji="1" lang="en-US" altLang="ja-JP" sz="1100"/>
            <a:t>K29</a:t>
          </a:r>
          <a:r>
            <a:rPr kumimoji="1" lang="ja-JP" altLang="en-US" sz="1100"/>
            <a:t>・</a:t>
          </a:r>
          <a:r>
            <a:rPr kumimoji="1" lang="en-US" altLang="ja-JP" sz="1100"/>
            <a:t>K30</a:t>
          </a:r>
          <a:r>
            <a:rPr kumimoji="1" lang="ja-JP" altLang="en-US" sz="1100"/>
            <a:t>・</a:t>
          </a:r>
          <a:r>
            <a:rPr kumimoji="1" lang="en-US" altLang="ja-JP" sz="1100"/>
            <a:t>K31</a:t>
          </a:r>
          <a:r>
            <a:rPr kumimoji="1" lang="ja-JP" altLang="en-US" sz="1100"/>
            <a:t>の数字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100"/>
            <a:t>D29</a:t>
          </a:r>
          <a:r>
            <a:rPr kumimoji="1" lang="ja-JP" altLang="en-US" sz="1100"/>
            <a:t>・</a:t>
          </a:r>
          <a:r>
            <a:rPr kumimoji="1" lang="en-US" altLang="ja-JP" sz="1100"/>
            <a:t>I29</a:t>
          </a:r>
          <a:r>
            <a:rPr kumimoji="1" lang="ja-JP" altLang="en-US" sz="1100"/>
            <a:t>・</a:t>
          </a:r>
          <a:r>
            <a:rPr kumimoji="1" lang="en-US" altLang="ja-JP" sz="1100"/>
            <a:t>L29</a:t>
          </a:r>
          <a:r>
            <a:rPr kumimoji="1" lang="ja-JP" altLang="en-US" sz="1100"/>
            <a:t>の計算式</a:t>
          </a:r>
          <a:endParaRPr kumimoji="1" lang="en-US" altLang="ja-JP" sz="1100"/>
        </a:p>
        <a:p>
          <a:r>
            <a:rPr kumimoji="1" lang="ja-JP" altLang="en-US" sz="1100"/>
            <a:t>○限度額改正のとき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100"/>
            <a:t>D33</a:t>
          </a:r>
          <a:r>
            <a:rPr kumimoji="1" lang="ja-JP" altLang="en-US" sz="1100"/>
            <a:t>・</a:t>
          </a:r>
          <a:r>
            <a:rPr kumimoji="1" lang="en-US" altLang="ja-JP" sz="1100"/>
            <a:t>I33</a:t>
          </a:r>
          <a:r>
            <a:rPr kumimoji="1" lang="ja-JP" altLang="en-US" sz="1100"/>
            <a:t>・</a:t>
          </a:r>
          <a:r>
            <a:rPr kumimoji="1" lang="en-US" altLang="ja-JP" sz="1100"/>
            <a:t>L33</a:t>
          </a:r>
          <a:r>
            <a:rPr kumimoji="1" lang="ja-JP" altLang="en-US" sz="1100"/>
            <a:t>の数字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D32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I32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L32</a:t>
          </a:r>
          <a:r>
            <a:rPr kumimoji="1" lang="ja-JP" altLang="en-US" sz="1100"/>
            <a:t>の計算式</a:t>
          </a:r>
        </a:p>
      </xdr:txBody>
    </xdr:sp>
    <xdr:clientData/>
  </xdr:oneCellAnchor>
  <xdr:twoCellAnchor>
    <xdr:from>
      <xdr:col>12</xdr:col>
      <xdr:colOff>142875</xdr:colOff>
      <xdr:row>74</xdr:row>
      <xdr:rowOff>152400</xdr:rowOff>
    </xdr:from>
    <xdr:to>
      <xdr:col>14</xdr:col>
      <xdr:colOff>609600</xdr:colOff>
      <xdr:row>77</xdr:row>
      <xdr:rowOff>152400</xdr:rowOff>
    </xdr:to>
    <xdr:sp macro="" textlink="">
      <xdr:nvSpPr>
        <xdr:cNvPr id="19" name="角丸四角形吹き出し 18"/>
        <xdr:cNvSpPr/>
      </xdr:nvSpPr>
      <xdr:spPr>
        <a:xfrm>
          <a:off x="9667875" y="10744200"/>
          <a:ext cx="2314575" cy="514350"/>
        </a:xfrm>
        <a:prstGeom prst="wedgeRoundRectCallout">
          <a:avLst>
            <a:gd name="adj1" fmla="val -26771"/>
            <a:gd name="adj2" fmla="val -13087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②これらは定数という認識です。</a:t>
          </a:r>
        </a:p>
      </xdr:txBody>
    </xdr:sp>
    <xdr:clientData/>
  </xdr:twoCellAnchor>
  <xdr:twoCellAnchor>
    <xdr:from>
      <xdr:col>15</xdr:col>
      <xdr:colOff>247651</xdr:colOff>
      <xdr:row>70</xdr:row>
      <xdr:rowOff>104774</xdr:rowOff>
    </xdr:from>
    <xdr:to>
      <xdr:col>19</xdr:col>
      <xdr:colOff>647701</xdr:colOff>
      <xdr:row>76</xdr:row>
      <xdr:rowOff>38100</xdr:rowOff>
    </xdr:to>
    <xdr:sp macro="" textlink="">
      <xdr:nvSpPr>
        <xdr:cNvPr id="22" name="角丸四角形吹き出し 21"/>
        <xdr:cNvSpPr/>
      </xdr:nvSpPr>
      <xdr:spPr>
        <a:xfrm>
          <a:off x="13306426" y="9991724"/>
          <a:ext cx="3409950" cy="981076"/>
        </a:xfrm>
        <a:prstGeom prst="wedgeRoundRectCallout">
          <a:avLst>
            <a:gd name="adj1" fmla="val -56401"/>
            <a:gd name="adj2" fmla="val -2531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③未就学児がいる世帯で軽減該当でない場合は、</a:t>
          </a:r>
          <a:endParaRPr kumimoji="1" lang="en-US" altLang="ja-JP" sz="1100"/>
        </a:p>
        <a:p>
          <a:pPr algn="l"/>
          <a:r>
            <a:rPr kumimoji="1" lang="en-US" altLang="ja-JP" sz="1100"/>
            <a:t>5</a:t>
          </a:r>
          <a:r>
            <a:rPr kumimoji="1" lang="ja-JP" altLang="en-US" sz="1100"/>
            <a:t>割減額される（医療・均等割、支援・均等割が）。</a:t>
          </a:r>
          <a:endParaRPr kumimoji="1" lang="en-US" altLang="ja-JP" sz="1100"/>
        </a:p>
        <a:p>
          <a:pPr algn="l"/>
          <a:r>
            <a:rPr kumimoji="1" lang="ja-JP" altLang="en-US" sz="1100"/>
            <a:t>ただし、</a:t>
          </a:r>
          <a:r>
            <a:rPr kumimoji="1" lang="en-US" altLang="ja-JP" sz="1100"/>
            <a:t>7</a:t>
          </a:r>
          <a:r>
            <a:rPr kumimoji="1" lang="ja-JP" altLang="en-US" sz="1100"/>
            <a:t>割軽減該当の場合は、さらに</a:t>
          </a:r>
          <a:r>
            <a:rPr kumimoji="1" lang="en-US" altLang="ja-JP" sz="1100"/>
            <a:t>1.5</a:t>
          </a:r>
          <a:r>
            <a:rPr kumimoji="1" lang="ja-JP" altLang="en-US" sz="1100"/>
            <a:t>割軽減</a:t>
          </a:r>
          <a:endParaRPr kumimoji="1" lang="en-US" altLang="ja-JP" sz="1100"/>
        </a:p>
        <a:p>
          <a:pPr algn="l"/>
          <a:r>
            <a:rPr kumimoji="1" lang="ja-JP" altLang="en-US" sz="1100"/>
            <a:t>される（未就学児分）。</a:t>
          </a:r>
        </a:p>
      </xdr:txBody>
    </xdr:sp>
    <xdr:clientData/>
  </xdr:twoCellAnchor>
  <xdr:twoCellAnchor>
    <xdr:from>
      <xdr:col>15</xdr:col>
      <xdr:colOff>323850</xdr:colOff>
      <xdr:row>60</xdr:row>
      <xdr:rowOff>47624</xdr:rowOff>
    </xdr:from>
    <xdr:to>
      <xdr:col>21</xdr:col>
      <xdr:colOff>266699</xdr:colOff>
      <xdr:row>66</xdr:row>
      <xdr:rowOff>0</xdr:rowOff>
    </xdr:to>
    <xdr:sp macro="" textlink="">
      <xdr:nvSpPr>
        <xdr:cNvPr id="15" name="角丸四角形吹き出し 14"/>
        <xdr:cNvSpPr/>
      </xdr:nvSpPr>
      <xdr:spPr>
        <a:xfrm>
          <a:off x="13382625" y="8220074"/>
          <a:ext cx="4324349" cy="981076"/>
        </a:xfrm>
        <a:prstGeom prst="wedgeRoundRectCallout">
          <a:avLst>
            <a:gd name="adj1" fmla="val -56401"/>
            <a:gd name="adj2" fmla="val -2531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④</a:t>
          </a:r>
          <a:r>
            <a:rPr kumimoji="1" lang="en-US" altLang="ja-JP" sz="1100"/>
            <a:t>60</a:t>
          </a:r>
          <a:r>
            <a:rPr kumimoji="1" lang="ja-JP" altLang="en-US" sz="1100"/>
            <a:t>行目の決定額で既に合計値を</a:t>
          </a:r>
          <a:r>
            <a:rPr kumimoji="1" lang="en-US" altLang="ja-JP" sz="1100"/>
            <a:t>x</a:t>
          </a:r>
          <a:r>
            <a:rPr kumimoji="1" lang="ja-JP" altLang="en-US" sz="1100"/>
            <a:t>割軽減した値になっているので、さらに減額する分（③の値）を決定額から引き、決定額としている。国保税計算シートの</a:t>
          </a:r>
          <a:r>
            <a:rPr kumimoji="1" lang="en-US" altLang="ja-JP" sz="1100"/>
            <a:t>F26</a:t>
          </a:r>
          <a:r>
            <a:rPr kumimoji="1" lang="ja-JP" altLang="en-US" sz="1100"/>
            <a:t>（未就学児の数）が</a:t>
          </a:r>
          <a:r>
            <a:rPr kumimoji="1" lang="en-US" altLang="ja-JP" sz="1100"/>
            <a:t>0</a:t>
          </a:r>
          <a:r>
            <a:rPr kumimoji="1" lang="ja-JP" altLang="en-US" sz="1100"/>
            <a:t>または空白のときは</a:t>
          </a:r>
          <a:r>
            <a:rPr kumimoji="1" lang="en-US" altLang="ja-JP" sz="1100"/>
            <a:t>0</a:t>
          </a:r>
          <a:r>
            <a:rPr kumimoji="1" lang="ja-JP" altLang="en-US" sz="1100"/>
            <a:t>を引くので未就学児がいない世帯への計算結果の影響はなしです。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57"/>
  <sheetViews>
    <sheetView tabSelected="1" zoomScale="90" zoomScaleNormal="90" workbookViewId="0">
      <selection activeCell="D6" sqref="D6"/>
    </sheetView>
  </sheetViews>
  <sheetFormatPr defaultRowHeight="13.5" x14ac:dyDescent="0.15"/>
  <cols>
    <col min="1" max="1" width="2.875" style="80" customWidth="1"/>
    <col min="2" max="2" width="9" style="80"/>
    <col min="3" max="3" width="31.625" style="80" customWidth="1"/>
    <col min="4" max="4" width="15.5" style="80" customWidth="1"/>
    <col min="5" max="5" width="1.625" style="80" customWidth="1"/>
    <col min="6" max="6" width="11.5" style="80" customWidth="1"/>
    <col min="7" max="7" width="2.375" style="80" customWidth="1"/>
    <col min="8" max="8" width="16.625" style="80" customWidth="1"/>
    <col min="9" max="9" width="10.875" style="80" customWidth="1"/>
    <col min="10" max="10" width="1.625" style="80" customWidth="1"/>
    <col min="11" max="11" width="31.625" style="80" customWidth="1"/>
    <col min="12" max="12" width="10.75" style="80" customWidth="1"/>
    <col min="13" max="13" width="9.125" style="80" customWidth="1"/>
    <col min="14" max="14" width="2.75" style="80" customWidth="1"/>
    <col min="15" max="15" width="3.125" style="80" customWidth="1"/>
    <col min="16" max="16" width="3.5" style="80" customWidth="1"/>
    <col min="17" max="17" width="3.75" style="80" customWidth="1"/>
    <col min="18" max="18" width="3.5" style="80" customWidth="1"/>
    <col min="19" max="19" width="6.375" style="80" customWidth="1"/>
    <col min="20" max="16384" width="9" style="80"/>
  </cols>
  <sheetData>
    <row r="1" spans="2:18" ht="41.25" customHeight="1" x14ac:dyDescent="0.15">
      <c r="B1" s="79" t="s">
        <v>56</v>
      </c>
    </row>
    <row r="2" spans="2:18" x14ac:dyDescent="0.15">
      <c r="K2" s="81"/>
      <c r="L2" s="82"/>
    </row>
    <row r="3" spans="2:18" ht="17.25" x14ac:dyDescent="0.15">
      <c r="B3" s="113" t="s">
        <v>80</v>
      </c>
      <c r="J3" s="83"/>
      <c r="K3" s="84"/>
      <c r="L3" s="85"/>
      <c r="M3" s="83"/>
      <c r="N3" s="83"/>
      <c r="O3" s="83"/>
      <c r="P3" s="83"/>
      <c r="Q3" s="83"/>
    </row>
    <row r="4" spans="2:18" x14ac:dyDescent="0.15">
      <c r="D4" s="86" t="s">
        <v>49</v>
      </c>
      <c r="F4" s="87" t="s">
        <v>14</v>
      </c>
      <c r="H4" s="88"/>
      <c r="I4" s="83"/>
      <c r="J4" s="83"/>
      <c r="K4" s="84"/>
      <c r="L4" s="85"/>
      <c r="M4" s="83"/>
      <c r="N4" s="83"/>
      <c r="O4" s="83"/>
      <c r="P4" s="83"/>
      <c r="Q4" s="83"/>
    </row>
    <row r="5" spans="2:18" ht="3" customHeight="1" x14ac:dyDescent="0.15">
      <c r="E5" s="89"/>
      <c r="F5" s="89"/>
      <c r="G5" s="89"/>
      <c r="H5" s="90"/>
      <c r="I5" s="83"/>
      <c r="J5" s="91"/>
      <c r="K5" s="83"/>
      <c r="L5" s="83"/>
      <c r="M5" s="83"/>
      <c r="N5" s="83"/>
      <c r="O5" s="83"/>
      <c r="P5" s="83"/>
      <c r="Q5" s="83"/>
    </row>
    <row r="6" spans="2:18" x14ac:dyDescent="0.15">
      <c r="C6" s="92" t="s">
        <v>54</v>
      </c>
      <c r="D6" s="72"/>
      <c r="E6" s="89"/>
      <c r="F6" s="74"/>
      <c r="G6" s="89"/>
      <c r="H6" s="121"/>
      <c r="I6" s="121"/>
      <c r="J6" s="121"/>
      <c r="K6" s="121"/>
      <c r="L6" s="121"/>
      <c r="M6" s="121"/>
      <c r="N6" s="121"/>
      <c r="O6" s="121"/>
      <c r="P6" s="121"/>
      <c r="Q6" s="121"/>
    </row>
    <row r="7" spans="2:18" ht="3" customHeight="1" x14ac:dyDescent="0.15">
      <c r="C7" s="92"/>
      <c r="D7" s="89"/>
      <c r="E7" s="89"/>
      <c r="F7" s="89"/>
      <c r="G7" s="89"/>
      <c r="H7" s="90"/>
      <c r="I7" s="83"/>
      <c r="J7" s="91"/>
      <c r="K7" s="83"/>
      <c r="L7" s="83"/>
      <c r="M7" s="83"/>
      <c r="N7" s="83"/>
      <c r="O7" s="83"/>
      <c r="P7" s="83"/>
      <c r="Q7" s="83"/>
    </row>
    <row r="8" spans="2:18" x14ac:dyDescent="0.15">
      <c r="C8" s="92" t="s">
        <v>53</v>
      </c>
      <c r="D8" s="73"/>
      <c r="E8" s="89"/>
      <c r="F8" s="74"/>
      <c r="G8" s="89"/>
      <c r="H8" s="121"/>
      <c r="I8" s="121"/>
      <c r="J8" s="121"/>
      <c r="K8" s="121"/>
      <c r="L8" s="121"/>
      <c r="M8" s="121"/>
      <c r="N8" s="121"/>
      <c r="O8" s="121"/>
      <c r="P8" s="121"/>
      <c r="Q8" s="121"/>
    </row>
    <row r="9" spans="2:18" ht="3" customHeight="1" x14ac:dyDescent="0.15">
      <c r="C9" s="92"/>
      <c r="D9" s="89"/>
      <c r="E9" s="89"/>
      <c r="F9" s="89"/>
      <c r="G9" s="89"/>
      <c r="H9" s="90"/>
      <c r="I9" s="83"/>
      <c r="J9" s="91"/>
      <c r="K9" s="83"/>
      <c r="L9" s="83"/>
      <c r="M9" s="83"/>
      <c r="N9" s="83"/>
      <c r="O9" s="83"/>
      <c r="P9" s="83"/>
      <c r="Q9" s="83"/>
    </row>
    <row r="10" spans="2:18" x14ac:dyDescent="0.15">
      <c r="C10" s="92" t="s">
        <v>10</v>
      </c>
      <c r="D10" s="73"/>
      <c r="E10" s="89"/>
      <c r="F10" s="74"/>
      <c r="G10" s="89"/>
      <c r="H10" s="121"/>
      <c r="I10" s="121"/>
      <c r="J10" s="121"/>
      <c r="K10" s="121"/>
      <c r="L10" s="121"/>
      <c r="M10" s="121"/>
      <c r="N10" s="121"/>
      <c r="O10" s="121"/>
      <c r="P10" s="121"/>
      <c r="Q10" s="121"/>
    </row>
    <row r="11" spans="2:18" ht="3" customHeight="1" x14ac:dyDescent="0.15">
      <c r="C11" s="92"/>
      <c r="D11" s="89"/>
      <c r="E11" s="89"/>
      <c r="F11" s="89"/>
      <c r="G11" s="89"/>
      <c r="H11" s="90"/>
      <c r="I11" s="83"/>
      <c r="J11" s="91"/>
      <c r="K11" s="83"/>
      <c r="L11" s="83"/>
      <c r="M11" s="83"/>
      <c r="N11" s="83"/>
      <c r="O11" s="83"/>
      <c r="P11" s="83"/>
      <c r="Q11" s="83"/>
    </row>
    <row r="12" spans="2:18" x14ac:dyDescent="0.15">
      <c r="C12" s="92" t="s">
        <v>11</v>
      </c>
      <c r="D12" s="73"/>
      <c r="E12" s="89"/>
      <c r="F12" s="74"/>
      <c r="G12" s="89"/>
      <c r="H12" s="119"/>
      <c r="I12" s="119"/>
      <c r="J12" s="119"/>
      <c r="K12" s="119"/>
      <c r="L12" s="119"/>
      <c r="M12" s="119"/>
      <c r="N12" s="119"/>
      <c r="O12" s="119"/>
      <c r="P12" s="119"/>
      <c r="Q12" s="119"/>
    </row>
    <row r="13" spans="2:18" ht="3" customHeight="1" x14ac:dyDescent="0.15">
      <c r="C13" s="92"/>
      <c r="D13" s="89"/>
      <c r="E13" s="89"/>
      <c r="F13" s="89"/>
      <c r="G13" s="89"/>
      <c r="H13" s="93"/>
      <c r="I13" s="83"/>
      <c r="J13" s="91"/>
      <c r="K13" s="83"/>
      <c r="L13" s="83"/>
      <c r="M13" s="83"/>
      <c r="N13" s="83"/>
      <c r="O13" s="83"/>
      <c r="P13" s="83"/>
      <c r="Q13" s="83"/>
    </row>
    <row r="14" spans="2:18" x14ac:dyDescent="0.15">
      <c r="C14" s="92" t="s">
        <v>12</v>
      </c>
      <c r="D14" s="73"/>
      <c r="E14" s="89"/>
      <c r="F14" s="74"/>
      <c r="G14" s="8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83"/>
    </row>
    <row r="15" spans="2:18" ht="3" customHeight="1" x14ac:dyDescent="0.15">
      <c r="C15" s="92"/>
      <c r="D15" s="89"/>
      <c r="E15" s="89"/>
      <c r="F15" s="89"/>
      <c r="G15" s="89"/>
      <c r="H15" s="93"/>
      <c r="I15" s="83"/>
      <c r="J15" s="91"/>
      <c r="K15" s="83"/>
      <c r="L15" s="83"/>
      <c r="M15" s="83"/>
      <c r="N15" s="83"/>
      <c r="O15" s="83"/>
      <c r="P15" s="83"/>
      <c r="Q15" s="83"/>
    </row>
    <row r="16" spans="2:18" x14ac:dyDescent="0.15">
      <c r="C16" s="92" t="s">
        <v>13</v>
      </c>
      <c r="D16" s="73"/>
      <c r="E16" s="89"/>
      <c r="F16" s="74"/>
      <c r="G16" s="89"/>
      <c r="H16" s="119"/>
      <c r="I16" s="119"/>
      <c r="J16" s="119"/>
      <c r="K16" s="119"/>
      <c r="L16" s="119"/>
      <c r="M16" s="119"/>
      <c r="N16" s="119"/>
      <c r="O16" s="119"/>
      <c r="P16" s="119"/>
      <c r="Q16" s="119"/>
    </row>
    <row r="17" spans="1:21" ht="3" customHeight="1" x14ac:dyDescent="0.15">
      <c r="C17" s="92"/>
      <c r="D17" s="89"/>
      <c r="E17" s="89"/>
      <c r="F17" s="89"/>
      <c r="G17" s="89"/>
      <c r="H17" s="93"/>
      <c r="I17" s="83"/>
      <c r="J17" s="91"/>
      <c r="K17" s="83"/>
      <c r="L17" s="83"/>
      <c r="M17" s="83"/>
      <c r="N17" s="83"/>
      <c r="O17" s="83"/>
      <c r="P17" s="83"/>
      <c r="Q17" s="83"/>
    </row>
    <row r="18" spans="1:21" ht="13.5" customHeight="1" x14ac:dyDescent="0.15">
      <c r="C18" s="92" t="s">
        <v>23</v>
      </c>
      <c r="D18" s="73"/>
      <c r="E18" s="89"/>
      <c r="F18" s="74"/>
      <c r="G18" s="89"/>
      <c r="H18" s="119"/>
      <c r="I18" s="119"/>
      <c r="J18" s="119"/>
      <c r="K18" s="119"/>
      <c r="L18" s="119"/>
      <c r="M18" s="119"/>
      <c r="N18" s="119"/>
      <c r="O18" s="119"/>
      <c r="P18" s="119"/>
      <c r="Q18" s="119"/>
    </row>
    <row r="19" spans="1:21" ht="3" customHeight="1" x14ac:dyDescent="0.15">
      <c r="C19" s="92"/>
      <c r="D19" s="89"/>
      <c r="E19" s="89"/>
      <c r="F19" s="89"/>
      <c r="G19" s="89"/>
      <c r="H19" s="116"/>
      <c r="I19" s="91"/>
      <c r="J19" s="91"/>
      <c r="K19" s="83"/>
      <c r="L19" s="83"/>
      <c r="M19" s="83"/>
      <c r="N19" s="83"/>
      <c r="O19" s="83"/>
      <c r="P19" s="83"/>
      <c r="Q19" s="83"/>
    </row>
    <row r="20" spans="1:21" x14ac:dyDescent="0.15">
      <c r="C20" s="92" t="s">
        <v>24</v>
      </c>
      <c r="D20" s="73"/>
      <c r="E20" s="89"/>
      <c r="F20" s="74"/>
      <c r="G20" s="89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S20" s="83"/>
    </row>
    <row r="21" spans="1:21" ht="6.75" customHeight="1" x14ac:dyDescent="0.15">
      <c r="C21" s="94"/>
      <c r="D21" s="89"/>
      <c r="E21" s="89"/>
      <c r="F21" s="89"/>
      <c r="G21" s="89"/>
      <c r="H21" s="116"/>
      <c r="I21" s="91"/>
      <c r="J21" s="91"/>
      <c r="K21" s="83"/>
      <c r="L21" s="83"/>
      <c r="M21" s="83"/>
      <c r="N21" s="83"/>
      <c r="O21" s="83"/>
      <c r="P21" s="83"/>
      <c r="Q21" s="83"/>
      <c r="U21" s="80" t="s">
        <v>81</v>
      </c>
    </row>
    <row r="22" spans="1:21" x14ac:dyDescent="0.15">
      <c r="D22" s="64"/>
      <c r="E22" s="95"/>
      <c r="F22" s="75"/>
      <c r="G22" s="89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83"/>
    </row>
    <row r="23" spans="1:21" ht="3" customHeight="1" x14ac:dyDescent="0.15">
      <c r="C23" s="94"/>
      <c r="D23" s="89"/>
      <c r="E23" s="89"/>
      <c r="F23" s="89"/>
      <c r="G23" s="89"/>
      <c r="H23" s="96"/>
      <c r="I23" s="91"/>
      <c r="J23" s="91"/>
      <c r="K23" s="83"/>
      <c r="L23" s="83"/>
      <c r="M23" s="83"/>
      <c r="N23" s="83"/>
      <c r="O23" s="83"/>
      <c r="P23" s="83"/>
      <c r="Q23" s="83"/>
    </row>
    <row r="24" spans="1:21" x14ac:dyDescent="0.15">
      <c r="C24" s="132" t="s">
        <v>78</v>
      </c>
      <c r="D24" s="132"/>
      <c r="E24" s="89"/>
      <c r="F24" s="76"/>
      <c r="G24" s="89"/>
      <c r="I24" s="91"/>
      <c r="J24" s="91"/>
      <c r="K24" s="83"/>
      <c r="L24" s="83"/>
      <c r="M24" s="83"/>
      <c r="N24" s="83"/>
      <c r="O24" s="83"/>
      <c r="P24" s="83"/>
      <c r="Q24" s="83"/>
    </row>
    <row r="25" spans="1:21" ht="3" customHeight="1" x14ac:dyDescent="0.15">
      <c r="C25" s="94"/>
      <c r="D25" s="89"/>
      <c r="E25" s="89"/>
      <c r="F25" s="89"/>
      <c r="G25" s="89"/>
      <c r="H25" s="81"/>
      <c r="I25" s="89"/>
      <c r="J25" s="89"/>
    </row>
    <row r="26" spans="1:21" ht="15.75" customHeight="1" x14ac:dyDescent="0.15">
      <c r="D26" s="110" t="s">
        <v>76</v>
      </c>
      <c r="E26" s="89"/>
      <c r="F26" s="112"/>
      <c r="G26" s="89"/>
      <c r="J26" s="89"/>
    </row>
    <row r="27" spans="1:21" ht="3" customHeight="1" x14ac:dyDescent="0.15">
      <c r="D27" s="89"/>
      <c r="E27" s="89"/>
      <c r="F27" s="89"/>
      <c r="G27" s="89"/>
      <c r="J27" s="89"/>
    </row>
    <row r="28" spans="1:21" x14ac:dyDescent="0.15">
      <c r="C28" s="130" t="s">
        <v>1</v>
      </c>
      <c r="D28" s="130"/>
      <c r="E28" s="89"/>
      <c r="F28" s="131" t="s">
        <v>47</v>
      </c>
      <c r="G28" s="131"/>
      <c r="H28" s="131"/>
      <c r="I28" s="131"/>
      <c r="J28" s="89"/>
      <c r="K28" s="130" t="s">
        <v>48</v>
      </c>
      <c r="L28" s="130"/>
    </row>
    <row r="29" spans="1:21" ht="15.75" customHeight="1" x14ac:dyDescent="0.15">
      <c r="B29" s="97" t="s">
        <v>2</v>
      </c>
      <c r="C29" s="118" t="s">
        <v>79</v>
      </c>
      <c r="D29" s="8" t="str">
        <f>IF(Mstr!H24*0.058&lt;=0," ",ROUNDDOWN(Mstr!H24*0.058,0))</f>
        <v xml:space="preserve"> </v>
      </c>
      <c r="E29" s="98"/>
      <c r="F29" s="128" t="s">
        <v>66</v>
      </c>
      <c r="G29" s="128"/>
      <c r="H29" s="129"/>
      <c r="I29" s="8" t="str">
        <f>IF(Mstr!H24*0.025&lt;=0," ",ROUNDDOWN(Mstr!H24*0.025,0))</f>
        <v xml:space="preserve"> </v>
      </c>
      <c r="J29" s="98"/>
      <c r="K29" s="118" t="s">
        <v>63</v>
      </c>
      <c r="L29" s="8" t="str">
        <f>IF(Mstr!H46*0.024&lt;=0," ",ROUNDDOWN(Mstr!H46*0.024,0))</f>
        <v xml:space="preserve"> </v>
      </c>
    </row>
    <row r="30" spans="1:21" ht="15.75" customHeight="1" x14ac:dyDescent="0.15">
      <c r="A30" s="99"/>
      <c r="B30" s="97" t="s">
        <v>5</v>
      </c>
      <c r="C30" s="117" t="s">
        <v>64</v>
      </c>
      <c r="D30" s="38" t="str">
        <f>IF(Mstr!M62&lt;=0,"",Mstr!M62)</f>
        <v/>
      </c>
      <c r="E30" s="98"/>
      <c r="F30" s="124" t="s">
        <v>52</v>
      </c>
      <c r="G30" s="124"/>
      <c r="H30" s="125"/>
      <c r="I30" s="36" t="str">
        <f>IF(Mstr!N62&lt;=0,"",Mstr!N62)</f>
        <v/>
      </c>
      <c r="J30" s="100"/>
      <c r="K30" s="117" t="s">
        <v>55</v>
      </c>
      <c r="L30" s="35" t="str">
        <f>IF(Mstr!O62&lt;=0,"",Mstr!O62)</f>
        <v/>
      </c>
    </row>
    <row r="31" spans="1:21" ht="15.75" customHeight="1" x14ac:dyDescent="0.15">
      <c r="A31" s="99"/>
      <c r="B31" s="101" t="s">
        <v>3</v>
      </c>
      <c r="C31" s="102" t="s">
        <v>65</v>
      </c>
      <c r="D31" s="35" t="str">
        <f>IF(AND(Mstr!L22=0,Mstr!L24=0),"",VLOOKUP(Mstr!$J$56,Mstr!$L$54:$Q$58,5,FALSE))</f>
        <v/>
      </c>
      <c r="E31" s="100"/>
      <c r="F31" s="126"/>
      <c r="G31" s="126"/>
      <c r="H31" s="127"/>
      <c r="I31" s="39"/>
      <c r="J31" s="100"/>
      <c r="K31" s="99"/>
      <c r="L31" s="40"/>
    </row>
    <row r="32" spans="1:21" ht="15.75" customHeight="1" x14ac:dyDescent="0.15">
      <c r="A32" s="99"/>
      <c r="B32" s="103" t="s">
        <v>4</v>
      </c>
      <c r="C32" s="104"/>
      <c r="D32" s="9">
        <f>IF(Mstr!H53&lt;650000,Mstr!H53,650000)</f>
        <v>0</v>
      </c>
      <c r="E32" s="98"/>
      <c r="F32" s="122"/>
      <c r="G32" s="122"/>
      <c r="H32" s="123"/>
      <c r="I32" s="9">
        <f>IF(Mstr!I53&lt;240000,Mstr!I53,240000)</f>
        <v>0</v>
      </c>
      <c r="J32" s="98"/>
      <c r="K32" s="104"/>
      <c r="L32" s="9">
        <f>IF(Mstr!J53&lt;170000,Mstr!J53,170000)</f>
        <v>0</v>
      </c>
      <c r="M32" s="80" t="s">
        <v>58</v>
      </c>
    </row>
    <row r="33" spans="1:19" x14ac:dyDescent="0.15">
      <c r="B33" s="105"/>
      <c r="D33" s="106" t="s">
        <v>67</v>
      </c>
      <c r="E33" s="89"/>
      <c r="F33" s="89"/>
      <c r="G33" s="89"/>
      <c r="I33" s="106" t="s">
        <v>82</v>
      </c>
      <c r="J33" s="89"/>
      <c r="L33" s="107" t="s">
        <v>57</v>
      </c>
    </row>
    <row r="34" spans="1:19" x14ac:dyDescent="0.15">
      <c r="E34" s="89"/>
      <c r="F34" s="89"/>
      <c r="G34" s="89"/>
      <c r="J34" s="89"/>
    </row>
    <row r="35" spans="1:19" ht="21.75" customHeight="1" x14ac:dyDescent="0.15">
      <c r="C35" s="114" t="s">
        <v>7</v>
      </c>
      <c r="D35" s="10" t="str">
        <f>IF(Mstr!H56=0,"",Mstr!H56)</f>
        <v/>
      </c>
      <c r="E35" s="115" t="s">
        <v>6</v>
      </c>
      <c r="F35" s="89"/>
      <c r="G35" s="89"/>
      <c r="H35" s="108" t="str">
        <f>IF(Mstr!J58="軽減なし","",Mstr!J58)</f>
        <v/>
      </c>
      <c r="J35" s="89"/>
    </row>
    <row r="36" spans="1:19" ht="5.25" customHeight="1" x14ac:dyDescent="0.15">
      <c r="C36" s="81"/>
      <c r="D36" s="109"/>
      <c r="E36" s="115"/>
      <c r="F36" s="89"/>
      <c r="G36" s="89"/>
      <c r="J36" s="89"/>
    </row>
    <row r="37" spans="1:19" ht="21.75" customHeight="1" x14ac:dyDescent="0.15">
      <c r="C37" s="114" t="s">
        <v>8</v>
      </c>
      <c r="D37" s="10" t="str">
        <f>IF(Mstr!H58=0,"",Mstr!H58)</f>
        <v/>
      </c>
      <c r="E37" s="115" t="s">
        <v>0</v>
      </c>
      <c r="F37" s="89"/>
      <c r="G37" s="89"/>
      <c r="J37" s="89"/>
      <c r="K37" s="83"/>
      <c r="M37" s="83"/>
    </row>
    <row r="38" spans="1:19" s="89" customFormat="1" ht="21.75" customHeight="1" x14ac:dyDescent="0.15">
      <c r="C38" s="110"/>
      <c r="D38" s="18"/>
    </row>
    <row r="39" spans="1:19" x14ac:dyDescent="0.15">
      <c r="E39" s="89"/>
      <c r="F39" s="89"/>
      <c r="G39" s="89"/>
      <c r="J39" s="89"/>
      <c r="M39" s="83"/>
    </row>
    <row r="40" spans="1:19" ht="6" customHeight="1" x14ac:dyDescent="0.15">
      <c r="A40" s="83"/>
      <c r="B40" s="83"/>
      <c r="C40" s="83"/>
      <c r="D40" s="83"/>
      <c r="E40" s="91"/>
      <c r="F40" s="91"/>
      <c r="G40" s="91"/>
      <c r="H40" s="83"/>
      <c r="I40" s="83"/>
      <c r="J40" s="91"/>
      <c r="K40" s="83"/>
      <c r="L40" s="83"/>
      <c r="M40" s="83"/>
      <c r="N40" s="83"/>
      <c r="O40" s="83"/>
      <c r="P40" s="83"/>
      <c r="Q40" s="83"/>
      <c r="R40" s="83"/>
      <c r="S40" s="83"/>
    </row>
    <row r="41" spans="1:19" ht="15" x14ac:dyDescent="0.15">
      <c r="A41" s="83"/>
      <c r="B41" s="111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</row>
    <row r="42" spans="1:19" ht="15" x14ac:dyDescent="0.15">
      <c r="B42" s="111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</row>
    <row r="43" spans="1:19" ht="15" x14ac:dyDescent="0.15">
      <c r="B43" s="111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</row>
    <row r="44" spans="1:19" ht="6.75" customHeight="1" x14ac:dyDescent="0.15">
      <c r="B44" s="111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</row>
    <row r="45" spans="1:19" x14ac:dyDescent="0.15">
      <c r="M45" s="83"/>
    </row>
    <row r="48" spans="1:19" x14ac:dyDescent="0.15">
      <c r="C48" s="83"/>
    </row>
    <row r="57" spans="12:13" ht="17.25" x14ac:dyDescent="0.15">
      <c r="L57" s="120" t="s">
        <v>83</v>
      </c>
      <c r="M57" s="120"/>
    </row>
  </sheetData>
  <sheetProtection password="E2DB" sheet="1" objects="1" scenarios="1" selectLockedCells="1"/>
  <protectedRanges>
    <protectedRange sqref="C24 D22" name="D4、D6、D8、D10"/>
  </protectedRanges>
  <mergeCells count="18">
    <mergeCell ref="C28:D28"/>
    <mergeCell ref="K28:L28"/>
    <mergeCell ref="F28:I28"/>
    <mergeCell ref="H14:Q14"/>
    <mergeCell ref="H16:Q16"/>
    <mergeCell ref="H18:Q18"/>
    <mergeCell ref="H20:Q20"/>
    <mergeCell ref="H22:Q22"/>
    <mergeCell ref="C24:D24"/>
    <mergeCell ref="H12:Q12"/>
    <mergeCell ref="L57:M57"/>
    <mergeCell ref="H10:Q10"/>
    <mergeCell ref="H6:Q6"/>
    <mergeCell ref="H8:Q8"/>
    <mergeCell ref="F32:H32"/>
    <mergeCell ref="F30:H30"/>
    <mergeCell ref="F31:H31"/>
    <mergeCell ref="F29:H29"/>
  </mergeCells>
  <phoneticPr fontId="1"/>
  <dataValidations count="1">
    <dataValidation type="list" showInputMessage="1" showErrorMessage="1" errorTitle="年齢入力エラー" error="該当する年齢をリストからお選びください。_x000a_" sqref="D16 D6 D8 D10 D12 D14 D18 D20">
      <formula1>年齢選択</formula1>
    </dataValidation>
  </dataValidations>
  <pageMargins left="0.39370078740157483" right="0.39370078740157483" top="0.59055118110236227" bottom="0.3937007874015748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72"/>
  <sheetViews>
    <sheetView topLeftCell="C49" zoomScaleNormal="100" workbookViewId="0">
      <selection activeCell="L68" sqref="L68"/>
    </sheetView>
  </sheetViews>
  <sheetFormatPr defaultRowHeight="13.5" x14ac:dyDescent="0.15"/>
  <cols>
    <col min="8" max="8" width="9.75" bestFit="1" customWidth="1"/>
    <col min="10" max="10" width="14.375" customWidth="1"/>
    <col min="11" max="11" width="12.875" customWidth="1"/>
    <col min="12" max="12" width="16" customWidth="1"/>
    <col min="13" max="14" width="12.125" bestFit="1" customWidth="1"/>
    <col min="15" max="15" width="22.125" customWidth="1"/>
    <col min="16" max="17" width="10" bestFit="1" customWidth="1"/>
    <col min="19" max="19" width="10.5" customWidth="1"/>
  </cols>
  <sheetData>
    <row r="1" spans="2:16" x14ac:dyDescent="0.15">
      <c r="F1" s="14"/>
      <c r="G1" s="14"/>
      <c r="H1" s="32" t="s">
        <v>19</v>
      </c>
      <c r="I1" s="14"/>
      <c r="J1" s="14"/>
      <c r="K1" s="14"/>
      <c r="L1" s="14"/>
      <c r="M1" s="14"/>
      <c r="N1" s="14"/>
      <c r="O1" s="14"/>
      <c r="P1" s="14"/>
    </row>
    <row r="2" spans="2:16" x14ac:dyDescent="0.15">
      <c r="B2" s="7"/>
      <c r="F2" s="14"/>
      <c r="G2" s="14"/>
      <c r="H2" t="s">
        <v>21</v>
      </c>
      <c r="I2" s="14" t="s">
        <v>22</v>
      </c>
      <c r="J2" s="14"/>
      <c r="K2" s="14"/>
      <c r="L2" s="14"/>
      <c r="M2" s="14"/>
      <c r="N2" s="14"/>
      <c r="O2" s="14"/>
      <c r="P2" s="14"/>
    </row>
    <row r="3" spans="2:16" ht="5.25" customHeight="1" x14ac:dyDescent="0.15"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2:16" x14ac:dyDescent="0.15">
      <c r="B4" s="2"/>
      <c r="C4" s="29"/>
      <c r="D4" s="22"/>
      <c r="E4" s="2"/>
      <c r="F4" s="21"/>
      <c r="G4" s="28" t="s">
        <v>15</v>
      </c>
      <c r="H4" s="24" t="str">
        <f>IF(国保税の計算シート!F6="","",国保税の計算シート!F6)</f>
        <v/>
      </c>
      <c r="I4" s="25" t="str">
        <f>IF(H4="","",IF(H4&lt;430000,0,H4-430000))</f>
        <v/>
      </c>
      <c r="J4" s="14"/>
      <c r="K4" s="14"/>
      <c r="L4" s="14"/>
      <c r="M4" s="14"/>
      <c r="N4" s="14"/>
      <c r="O4" s="14"/>
      <c r="P4" s="14"/>
    </row>
    <row r="5" spans="2:16" ht="5.0999999999999996" customHeight="1" x14ac:dyDescent="0.15">
      <c r="B5" s="2"/>
      <c r="C5" s="17"/>
      <c r="D5" s="2"/>
      <c r="E5" s="2"/>
      <c r="F5" s="21"/>
      <c r="G5" s="1"/>
      <c r="H5" s="14"/>
      <c r="I5" s="14"/>
      <c r="J5" s="14"/>
      <c r="K5" s="14"/>
      <c r="L5" s="14"/>
      <c r="M5" s="14"/>
      <c r="N5" s="14"/>
      <c r="O5" s="14"/>
      <c r="P5" s="14"/>
    </row>
    <row r="6" spans="2:16" x14ac:dyDescent="0.15">
      <c r="B6" s="2"/>
      <c r="C6" s="30"/>
      <c r="D6" s="22"/>
      <c r="E6" s="2"/>
      <c r="F6" s="21"/>
      <c r="G6" s="11" t="s">
        <v>9</v>
      </c>
      <c r="H6" s="24" t="str">
        <f>IF(国保税の計算シート!F8="","",国保税の計算シート!F8)</f>
        <v/>
      </c>
      <c r="I6" s="25" t="str">
        <f>IF(H6="","",IF(H6&lt;430000,0,H6-430000))</f>
        <v/>
      </c>
      <c r="J6" s="14"/>
      <c r="K6" s="14"/>
      <c r="L6" s="14"/>
      <c r="M6" s="14"/>
      <c r="N6" s="14"/>
      <c r="O6" s="14"/>
      <c r="P6" s="14"/>
    </row>
    <row r="7" spans="2:16" ht="5.0999999999999996" customHeight="1" x14ac:dyDescent="0.15">
      <c r="B7" s="2"/>
      <c r="C7" s="30"/>
      <c r="D7" s="2"/>
      <c r="E7" s="2"/>
      <c r="F7" s="21"/>
      <c r="G7" s="11"/>
      <c r="H7" s="14"/>
      <c r="I7" s="14"/>
      <c r="J7" s="14"/>
      <c r="K7" s="14"/>
      <c r="L7" s="14"/>
      <c r="M7" s="14"/>
      <c r="N7" s="14"/>
      <c r="O7" s="14"/>
      <c r="P7" s="14"/>
    </row>
    <row r="8" spans="2:16" x14ac:dyDescent="0.15">
      <c r="B8" s="2"/>
      <c r="C8" s="30"/>
      <c r="D8" s="22"/>
      <c r="E8" s="2"/>
      <c r="F8" s="21"/>
      <c r="G8" s="11" t="s">
        <v>10</v>
      </c>
      <c r="H8" s="24" t="str">
        <f>IF(国保税の計算シート!F10="","",国保税の計算シート!F10)</f>
        <v/>
      </c>
      <c r="I8" s="25" t="str">
        <f>IF(H8="","",IF(H8&lt;430000,0,H8-430000))</f>
        <v/>
      </c>
      <c r="J8" s="14"/>
      <c r="K8" s="14"/>
      <c r="L8" s="14"/>
      <c r="M8" s="14"/>
      <c r="N8" s="14"/>
      <c r="O8" s="14"/>
      <c r="P8" s="14"/>
    </row>
    <row r="9" spans="2:16" ht="5.0999999999999996" customHeight="1" x14ac:dyDescent="0.15">
      <c r="B9" s="2"/>
      <c r="C9" s="30"/>
      <c r="D9" s="2"/>
      <c r="E9" s="2"/>
      <c r="F9" s="21"/>
      <c r="G9" s="11"/>
      <c r="H9" s="14"/>
      <c r="I9" s="14"/>
      <c r="J9" s="14"/>
      <c r="K9" s="14"/>
      <c r="L9" s="14"/>
      <c r="M9" s="14"/>
      <c r="N9" s="14"/>
      <c r="O9" s="14"/>
      <c r="P9" s="14"/>
    </row>
    <row r="10" spans="2:16" x14ac:dyDescent="0.15">
      <c r="B10" s="2"/>
      <c r="C10" s="30"/>
      <c r="D10" s="22"/>
      <c r="E10" s="2"/>
      <c r="F10" s="21"/>
      <c r="G10" s="11" t="s">
        <v>11</v>
      </c>
      <c r="H10" s="24" t="str">
        <f>IF(国保税の計算シート!F12="","",国保税の計算シート!F12)</f>
        <v/>
      </c>
      <c r="I10" s="25" t="str">
        <f>IF(H10="","",IF(H10&lt;430000,0,H10-430000))</f>
        <v/>
      </c>
      <c r="J10" s="14"/>
      <c r="K10" s="14"/>
      <c r="L10" s="14"/>
      <c r="M10" s="14"/>
      <c r="N10" s="14"/>
      <c r="O10" s="14"/>
      <c r="P10" s="14"/>
    </row>
    <row r="11" spans="2:16" ht="5.0999999999999996" customHeight="1" x14ac:dyDescent="0.15">
      <c r="B11" s="2"/>
      <c r="C11" s="30"/>
      <c r="D11" s="2"/>
      <c r="E11" s="2"/>
      <c r="F11" s="21"/>
      <c r="G11" s="11"/>
      <c r="H11" s="14"/>
      <c r="I11" s="14"/>
      <c r="J11" s="14"/>
      <c r="K11" s="14"/>
      <c r="L11" s="14"/>
      <c r="M11" s="14"/>
      <c r="N11" s="14"/>
      <c r="O11" s="14"/>
      <c r="P11" s="14"/>
    </row>
    <row r="12" spans="2:16" x14ac:dyDescent="0.15">
      <c r="B12" s="2"/>
      <c r="C12" s="30"/>
      <c r="D12" s="22"/>
      <c r="E12" s="2"/>
      <c r="F12" s="21"/>
      <c r="G12" s="11" t="s">
        <v>12</v>
      </c>
      <c r="H12" s="24" t="str">
        <f>IF(国保税の計算シート!F14="","",国保税の計算シート!F14)</f>
        <v/>
      </c>
      <c r="I12" s="25" t="str">
        <f>IF(H12="","",IF(H12&lt;430000,0,H12-430000))</f>
        <v/>
      </c>
      <c r="J12" s="14"/>
      <c r="K12" s="14"/>
      <c r="L12" s="14"/>
      <c r="M12" s="14"/>
      <c r="N12" s="14"/>
      <c r="O12" s="14"/>
      <c r="P12" s="14"/>
    </row>
    <row r="13" spans="2:16" ht="5.0999999999999996" customHeight="1" x14ac:dyDescent="0.15">
      <c r="B13" s="2"/>
      <c r="C13" s="30"/>
      <c r="D13" s="2"/>
      <c r="E13" s="2"/>
      <c r="F13" s="21"/>
      <c r="G13" s="11"/>
      <c r="H13" s="14"/>
      <c r="I13" s="14"/>
      <c r="J13" s="14"/>
      <c r="K13" s="14"/>
      <c r="L13" s="14"/>
      <c r="M13" s="14"/>
      <c r="N13" s="14"/>
      <c r="O13" s="14"/>
      <c r="P13" s="14"/>
    </row>
    <row r="14" spans="2:16" x14ac:dyDescent="0.15">
      <c r="B14" s="2"/>
      <c r="C14" s="30"/>
      <c r="D14" s="22"/>
      <c r="E14" s="2"/>
      <c r="F14" s="21"/>
      <c r="G14" s="11" t="s">
        <v>13</v>
      </c>
      <c r="H14" s="24" t="str">
        <f>IF(国保税の計算シート!F16="","",国保税の計算シート!F16)</f>
        <v/>
      </c>
      <c r="I14" s="25" t="str">
        <f>IF(H14="","",IF(H14&lt;430000,0,H14-430000))</f>
        <v/>
      </c>
      <c r="K14" s="14"/>
      <c r="L14" s="14"/>
      <c r="M14" s="14"/>
      <c r="N14" s="14"/>
      <c r="O14" s="14"/>
      <c r="P14" s="14"/>
    </row>
    <row r="15" spans="2:16" ht="5.0999999999999996" customHeight="1" x14ac:dyDescent="0.15">
      <c r="B15" s="2"/>
      <c r="C15" s="17"/>
      <c r="D15" s="2"/>
      <c r="E15" s="2"/>
      <c r="F15" s="21"/>
      <c r="G15" s="1"/>
      <c r="H15" s="14"/>
      <c r="I15" s="14"/>
      <c r="J15" s="14"/>
      <c r="K15" s="14"/>
      <c r="L15" s="14"/>
      <c r="M15" s="14"/>
      <c r="N15" s="14"/>
      <c r="O15" s="14"/>
      <c r="P15" s="14"/>
    </row>
    <row r="16" spans="2:16" x14ac:dyDescent="0.15">
      <c r="B16" s="2"/>
      <c r="C16" s="29"/>
      <c r="D16" s="22"/>
      <c r="E16" s="2"/>
      <c r="F16" s="21"/>
      <c r="G16" s="28" t="s">
        <v>25</v>
      </c>
      <c r="H16" s="24" t="str">
        <f>IF(国保税の計算シート!F18="","",国保税の計算シート!F18)</f>
        <v/>
      </c>
      <c r="I16" s="25" t="str">
        <f>IF(H16="","",IF(H16&lt;430000,0,H16-430000))</f>
        <v/>
      </c>
      <c r="J16" s="14"/>
      <c r="K16" s="14"/>
      <c r="L16" s="14"/>
      <c r="M16" s="14"/>
      <c r="N16" s="14"/>
      <c r="O16" s="14"/>
      <c r="P16" s="14"/>
    </row>
    <row r="17" spans="2:16" ht="5.0999999999999996" customHeight="1" x14ac:dyDescent="0.15">
      <c r="B17" s="2"/>
      <c r="C17" s="17"/>
      <c r="D17" s="2"/>
      <c r="E17" s="2"/>
      <c r="F17" s="21"/>
      <c r="G17" s="1"/>
      <c r="H17" s="14"/>
      <c r="I17" s="14"/>
      <c r="J17" s="14"/>
      <c r="K17" s="14"/>
      <c r="L17" s="14"/>
      <c r="M17" s="14"/>
      <c r="N17" s="14"/>
      <c r="O17" s="14"/>
      <c r="P17" s="14"/>
    </row>
    <row r="18" spans="2:16" x14ac:dyDescent="0.15">
      <c r="B18" s="2"/>
      <c r="C18" s="30"/>
      <c r="D18" s="22"/>
      <c r="E18" s="2"/>
      <c r="F18" s="21"/>
      <c r="G18" s="11" t="s">
        <v>26</v>
      </c>
      <c r="H18" s="24" t="str">
        <f>IF(国保税の計算シート!F20="","",国保税の計算シート!F20)</f>
        <v/>
      </c>
      <c r="I18" s="25" t="str">
        <f>IF(H18="","",IF(H18&lt;430000,0,H18-430000))</f>
        <v/>
      </c>
      <c r="J18" s="14"/>
      <c r="K18" s="14"/>
      <c r="L18" s="14"/>
      <c r="M18" s="14"/>
      <c r="N18" s="14"/>
      <c r="O18" s="14"/>
      <c r="P18" s="14"/>
    </row>
    <row r="19" spans="2:16" ht="5.0999999999999996" customHeight="1" x14ac:dyDescent="0.15">
      <c r="B19" s="2"/>
      <c r="C19" s="30"/>
      <c r="D19" s="2"/>
      <c r="E19" s="2"/>
      <c r="F19" s="21"/>
      <c r="G19" s="11"/>
      <c r="H19" s="14"/>
      <c r="I19" s="14"/>
      <c r="J19" s="14"/>
      <c r="K19" s="14"/>
      <c r="L19" s="14"/>
      <c r="M19" s="14"/>
      <c r="N19" s="14"/>
      <c r="O19" s="14"/>
      <c r="P19" s="14"/>
    </row>
    <row r="20" spans="2:16" ht="14.25" customHeight="1" x14ac:dyDescent="0.15">
      <c r="B20" s="2"/>
      <c r="C20" s="30"/>
      <c r="D20" s="22"/>
      <c r="E20" s="2"/>
      <c r="F20" s="21"/>
      <c r="G20" s="11" t="s">
        <v>40</v>
      </c>
      <c r="H20" s="24" t="str">
        <f>IF(国保税の計算シート!F22="","",国保税の計算シート!F22)</f>
        <v/>
      </c>
      <c r="I20" s="25" t="str">
        <f>IF(H20="","",IF(H20&lt;430000,0,H20-430000))</f>
        <v/>
      </c>
      <c r="K20" s="14"/>
      <c r="L20" s="14" t="s">
        <v>43</v>
      </c>
      <c r="M20" s="14"/>
      <c r="N20" s="14"/>
      <c r="O20" s="14"/>
      <c r="P20" s="14"/>
    </row>
    <row r="21" spans="2:16" ht="5.0999999999999996" customHeight="1" x14ac:dyDescent="0.15">
      <c r="B21" s="2"/>
      <c r="C21" s="30"/>
      <c r="D21" s="2"/>
      <c r="E21" s="2"/>
      <c r="F21" s="21"/>
      <c r="G21" s="11"/>
      <c r="H21" s="14"/>
      <c r="I21" s="14"/>
      <c r="J21" s="14"/>
      <c r="K21" s="14"/>
      <c r="L21" s="14"/>
      <c r="M21" s="14"/>
      <c r="N21" s="14"/>
      <c r="O21" s="14"/>
      <c r="P21" s="14"/>
    </row>
    <row r="22" spans="2:16" x14ac:dyDescent="0.15">
      <c r="B22" s="2"/>
      <c r="C22" s="17"/>
      <c r="D22" s="2"/>
      <c r="E22" s="2"/>
      <c r="F22" s="21"/>
      <c r="G22" s="1" t="s">
        <v>41</v>
      </c>
      <c r="H22" s="19">
        <f>COUNT(国保税の計算シート!F6:F20,8-"")</f>
        <v>0</v>
      </c>
      <c r="I22" s="14"/>
      <c r="J22" s="14"/>
      <c r="K22" s="45" t="s">
        <v>44</v>
      </c>
      <c r="L22" s="47">
        <f>COUNT(国保税の計算シート!F6:F20,9-"")</f>
        <v>0</v>
      </c>
      <c r="M22" s="14"/>
      <c r="N22" s="14"/>
      <c r="O22" s="14"/>
      <c r="P22" s="14"/>
    </row>
    <row r="23" spans="2:16" ht="5.0999999999999996" customHeight="1" x14ac:dyDescent="0.15">
      <c r="B23" s="2"/>
      <c r="C23" s="30"/>
      <c r="D23" s="2"/>
      <c r="E23" s="2"/>
      <c r="F23" s="21"/>
      <c r="G23" s="11"/>
      <c r="H23" s="14"/>
      <c r="I23" s="14"/>
      <c r="J23" s="14"/>
      <c r="K23" s="14"/>
      <c r="L23" s="14"/>
      <c r="M23" s="14"/>
      <c r="N23" s="14"/>
      <c r="O23" s="14"/>
      <c r="P23" s="14"/>
    </row>
    <row r="24" spans="2:16" ht="14.25" customHeight="1" x14ac:dyDescent="0.15">
      <c r="B24" s="2"/>
      <c r="C24" s="30"/>
      <c r="D24" s="22"/>
      <c r="E24" s="2"/>
      <c r="F24" s="21"/>
      <c r="G24" s="11" t="s">
        <v>42</v>
      </c>
      <c r="H24" s="44">
        <f>SUM(I4:I18)</f>
        <v>0</v>
      </c>
      <c r="I24" s="43"/>
      <c r="J24" s="15"/>
      <c r="K24" s="45" t="s">
        <v>42</v>
      </c>
      <c r="L24" s="46">
        <f>SUM(H4:H20)</f>
        <v>0</v>
      </c>
      <c r="M24" s="14"/>
      <c r="N24" s="14"/>
      <c r="O24" s="14"/>
      <c r="P24" s="14"/>
    </row>
    <row r="25" spans="2:16" x14ac:dyDescent="0.15">
      <c r="B25" s="2"/>
      <c r="C25" s="17"/>
      <c r="D25" s="2"/>
      <c r="E25" s="2"/>
      <c r="F25" s="21"/>
      <c r="G25" s="1"/>
      <c r="H25" s="33"/>
      <c r="I25" s="14"/>
      <c r="J25" s="14"/>
      <c r="K25" s="14"/>
      <c r="L25" s="14"/>
      <c r="M25" s="14"/>
      <c r="N25" s="14"/>
      <c r="O25" s="14"/>
      <c r="P25" s="14"/>
    </row>
    <row r="26" spans="2:16" x14ac:dyDescent="0.15">
      <c r="B26" s="2"/>
      <c r="C26" s="17"/>
      <c r="D26" s="2"/>
      <c r="E26" s="2"/>
      <c r="F26" s="21"/>
      <c r="G26" s="1"/>
      <c r="H26" s="34" t="s">
        <v>20</v>
      </c>
      <c r="I26" s="14"/>
      <c r="J26" s="14"/>
      <c r="K26" s="14"/>
      <c r="L26" s="14"/>
      <c r="M26" s="14"/>
      <c r="N26" s="14"/>
      <c r="O26" s="14"/>
      <c r="P26" s="14"/>
    </row>
    <row r="27" spans="2:16" ht="9" customHeight="1" x14ac:dyDescent="0.15">
      <c r="B27" s="2"/>
      <c r="C27" s="17"/>
      <c r="D27" s="5"/>
      <c r="E27" s="2"/>
      <c r="F27" s="21"/>
      <c r="G27" s="1"/>
      <c r="H27" s="14"/>
      <c r="I27" s="14"/>
      <c r="J27" s="14"/>
      <c r="K27" s="14"/>
      <c r="L27" s="14"/>
      <c r="M27" s="14"/>
      <c r="N27" s="14"/>
      <c r="O27" s="14"/>
      <c r="P27" s="14"/>
    </row>
    <row r="28" spans="2:16" x14ac:dyDescent="0.15">
      <c r="B28" s="2"/>
      <c r="C28" s="31"/>
      <c r="D28" s="22"/>
      <c r="E28" s="2"/>
      <c r="F28" s="21"/>
      <c r="G28" s="23" t="s">
        <v>15</v>
      </c>
      <c r="H28" s="26" t="str">
        <f>IF(国保税の計算シート!D6=Mstr!$L$50,国保税の計算シート!F6,"")</f>
        <v/>
      </c>
      <c r="I28" s="27" t="str">
        <f>IF(H28="","",IF(H28&lt;430000,0,H28-430000))</f>
        <v/>
      </c>
      <c r="J28" s="14"/>
      <c r="K28" s="14"/>
      <c r="L28" s="14"/>
      <c r="M28" s="14"/>
      <c r="N28" s="14"/>
      <c r="O28" s="14"/>
      <c r="P28" s="14"/>
    </row>
    <row r="29" spans="2:16" ht="5.0999999999999996" customHeight="1" x14ac:dyDescent="0.15">
      <c r="B29" s="2"/>
      <c r="C29" s="31"/>
      <c r="D29" s="2"/>
      <c r="E29" s="2"/>
      <c r="F29" s="21"/>
      <c r="G29" s="3"/>
      <c r="H29" s="14"/>
      <c r="I29" s="14"/>
      <c r="J29" s="14"/>
      <c r="K29" s="14"/>
      <c r="L29" s="14"/>
      <c r="M29" s="14"/>
      <c r="N29" s="14"/>
      <c r="O29" s="14"/>
      <c r="P29" s="14"/>
    </row>
    <row r="30" spans="2:16" x14ac:dyDescent="0.15">
      <c r="B30" s="2"/>
      <c r="C30" s="31"/>
      <c r="D30" s="22"/>
      <c r="E30" s="2"/>
      <c r="F30" s="21"/>
      <c r="G30" s="3" t="s">
        <v>9</v>
      </c>
      <c r="H30" s="26" t="str">
        <f>IF(国保税の計算シート!D8=$L$50,国保税の計算シート!F8,"")</f>
        <v/>
      </c>
      <c r="I30" s="27" t="str">
        <f>IF(H30="","",IF(H30&lt;430000,0,H30-430000))</f>
        <v/>
      </c>
      <c r="J30" s="14"/>
      <c r="K30" s="14"/>
      <c r="L30" s="14"/>
      <c r="M30" s="14"/>
      <c r="N30" s="14"/>
      <c r="O30" s="14"/>
      <c r="P30" s="14"/>
    </row>
    <row r="31" spans="2:16" ht="5.0999999999999996" customHeight="1" x14ac:dyDescent="0.15">
      <c r="B31" s="2"/>
      <c r="C31" s="31"/>
      <c r="D31" s="2"/>
      <c r="E31" s="2"/>
      <c r="F31" s="21"/>
      <c r="G31" s="3"/>
      <c r="H31" s="14"/>
      <c r="I31" s="14"/>
      <c r="J31" s="14"/>
      <c r="K31" s="14"/>
      <c r="L31" s="14"/>
      <c r="M31" s="14"/>
      <c r="N31" s="14"/>
      <c r="O31" s="14"/>
      <c r="P31" s="14"/>
    </row>
    <row r="32" spans="2:16" x14ac:dyDescent="0.15">
      <c r="B32" s="2"/>
      <c r="C32" s="31"/>
      <c r="D32" s="22"/>
      <c r="E32" s="2"/>
      <c r="F32" s="21"/>
      <c r="G32" s="3" t="s">
        <v>10</v>
      </c>
      <c r="H32" s="26" t="str">
        <f>IF(国保税の計算シート!D10=$L$50,国保税の計算シート!F10,"")</f>
        <v/>
      </c>
      <c r="I32" s="27" t="str">
        <f>IF(H32="","",IF(H32&lt;430000,0,H32-430000))</f>
        <v/>
      </c>
      <c r="J32" s="14"/>
      <c r="K32" s="14"/>
      <c r="L32" s="14"/>
      <c r="M32" s="14"/>
      <c r="N32" s="14"/>
      <c r="O32" s="14"/>
      <c r="P32" s="14"/>
    </row>
    <row r="33" spans="2:16" ht="5.0999999999999996" customHeight="1" x14ac:dyDescent="0.15">
      <c r="B33" s="2"/>
      <c r="C33" s="31"/>
      <c r="D33" s="2"/>
      <c r="E33" s="2"/>
      <c r="F33" s="21"/>
      <c r="G33" s="3"/>
      <c r="H33" s="14"/>
      <c r="I33" s="14"/>
      <c r="J33" s="14"/>
      <c r="K33" s="14"/>
      <c r="L33" s="14"/>
      <c r="M33" s="14"/>
      <c r="N33" s="14"/>
      <c r="O33" s="14"/>
      <c r="P33" s="14"/>
    </row>
    <row r="34" spans="2:16" x14ac:dyDescent="0.15">
      <c r="B34" s="2"/>
      <c r="C34" s="31"/>
      <c r="D34" s="22"/>
      <c r="E34" s="2"/>
      <c r="F34" s="21"/>
      <c r="G34" s="3" t="s">
        <v>11</v>
      </c>
      <c r="H34" s="26" t="str">
        <f>IF(国保税の計算シート!D12=$L$50,国保税の計算シート!F12,"")</f>
        <v/>
      </c>
      <c r="I34" s="27" t="str">
        <f>IF(H34="","",IF(H34&lt;430000,0,H34-430000))</f>
        <v/>
      </c>
      <c r="J34" s="14"/>
      <c r="K34" s="14"/>
      <c r="L34" s="14"/>
      <c r="M34" s="14"/>
      <c r="N34" s="14"/>
      <c r="O34" s="14"/>
      <c r="P34" s="14"/>
    </row>
    <row r="35" spans="2:16" ht="5.0999999999999996" customHeight="1" x14ac:dyDescent="0.15">
      <c r="B35" s="2"/>
      <c r="C35" s="31"/>
      <c r="D35" s="2"/>
      <c r="E35" s="2"/>
      <c r="F35" s="21"/>
      <c r="G35" s="3"/>
      <c r="H35" s="14"/>
      <c r="I35" s="14"/>
      <c r="J35" s="14"/>
      <c r="K35" s="14"/>
      <c r="L35" s="14"/>
      <c r="M35" s="14"/>
      <c r="N35" s="14"/>
      <c r="O35" s="14"/>
      <c r="P35" s="14"/>
    </row>
    <row r="36" spans="2:16" x14ac:dyDescent="0.15">
      <c r="B36" s="2"/>
      <c r="C36" s="31"/>
      <c r="D36" s="22"/>
      <c r="E36" s="2"/>
      <c r="F36" s="21"/>
      <c r="G36" s="3" t="s">
        <v>12</v>
      </c>
      <c r="H36" s="26" t="str">
        <f>IF(国保税の計算シート!D14=$L$50,国保税の計算シート!F14,"")</f>
        <v/>
      </c>
      <c r="I36" s="27" t="str">
        <f>IF(H36="","",IF(H36&lt;430000,0,H36-430000))</f>
        <v/>
      </c>
      <c r="J36" s="14"/>
      <c r="K36" s="14"/>
      <c r="L36" s="14"/>
      <c r="M36" s="14"/>
      <c r="N36" s="14"/>
      <c r="O36" s="14"/>
      <c r="P36" s="14"/>
    </row>
    <row r="37" spans="2:16" ht="5.0999999999999996" customHeight="1" x14ac:dyDescent="0.15">
      <c r="B37" s="2"/>
      <c r="C37" s="31"/>
      <c r="D37" s="2"/>
      <c r="E37" s="2"/>
      <c r="F37" s="21"/>
      <c r="G37" s="3"/>
      <c r="H37" s="14"/>
      <c r="I37" s="14"/>
      <c r="J37" s="14"/>
      <c r="K37" s="14"/>
      <c r="L37" s="14"/>
      <c r="M37" s="14"/>
      <c r="N37" s="14"/>
      <c r="O37" s="14"/>
      <c r="P37" s="14"/>
    </row>
    <row r="38" spans="2:16" x14ac:dyDescent="0.15">
      <c r="B38" s="2"/>
      <c r="C38" s="31"/>
      <c r="D38" s="22"/>
      <c r="E38" s="2"/>
      <c r="F38" s="21"/>
      <c r="G38" s="3" t="s">
        <v>13</v>
      </c>
      <c r="H38" s="26" t="str">
        <f>IF(国保税の計算シート!D16=$L$50,国保税の計算シート!F16,"")</f>
        <v/>
      </c>
      <c r="I38" s="27" t="str">
        <f>IF(H38="","",IF(H38&lt;430000,0,H38-430000))</f>
        <v/>
      </c>
      <c r="K38" s="14"/>
      <c r="L38" s="14"/>
      <c r="M38" s="14"/>
      <c r="N38" s="14"/>
      <c r="O38" s="14"/>
      <c r="P38" s="14"/>
    </row>
    <row r="39" spans="2:16" ht="5.0999999999999996" customHeight="1" x14ac:dyDescent="0.15">
      <c r="B39" s="2"/>
      <c r="C39" s="31"/>
      <c r="D39" s="2"/>
      <c r="E39" s="2"/>
      <c r="F39" s="21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2:16" x14ac:dyDescent="0.15">
      <c r="B40" s="2"/>
      <c r="C40" s="31"/>
      <c r="D40" s="22"/>
      <c r="E40" s="2"/>
      <c r="F40" s="21"/>
      <c r="G40" s="23" t="s">
        <v>27</v>
      </c>
      <c r="H40" s="26" t="str">
        <f>IF(国保税の計算シート!D18=Mstr!$L$50,国保税の計算シート!F18,"")</f>
        <v/>
      </c>
      <c r="I40" s="27" t="str">
        <f>IF(H40="","",IF(H40&lt;430000,0,H40-430000))</f>
        <v/>
      </c>
      <c r="J40" s="14"/>
      <c r="K40" s="14"/>
      <c r="L40" s="14"/>
      <c r="M40" s="14"/>
      <c r="N40" s="14"/>
      <c r="O40" s="14"/>
      <c r="P40" s="14"/>
    </row>
    <row r="41" spans="2:16" ht="5.0999999999999996" customHeight="1" x14ac:dyDescent="0.15">
      <c r="B41" s="2"/>
      <c r="C41" s="31"/>
      <c r="D41" s="2"/>
      <c r="E41" s="2"/>
      <c r="F41" s="21"/>
      <c r="G41" s="3"/>
      <c r="H41" s="14"/>
      <c r="I41" s="14"/>
      <c r="J41" s="14"/>
      <c r="K41" s="14"/>
      <c r="L41" s="14"/>
      <c r="M41" s="14"/>
      <c r="N41" s="14"/>
      <c r="O41" s="14"/>
      <c r="P41" s="14"/>
    </row>
    <row r="42" spans="2:16" x14ac:dyDescent="0.15">
      <c r="B42" s="2"/>
      <c r="C42" s="31"/>
      <c r="D42" s="22"/>
      <c r="E42" s="2"/>
      <c r="F42" s="21"/>
      <c r="G42" s="3" t="s">
        <v>24</v>
      </c>
      <c r="H42" s="26" t="str">
        <f>IF(国保税の計算シート!D20=$L$50,国保税の計算シート!F20,"")</f>
        <v/>
      </c>
      <c r="I42" s="27" t="str">
        <f>IF(H42="","",IF(H42&lt;430000,0,H42-430000))</f>
        <v/>
      </c>
      <c r="J42" s="14"/>
      <c r="K42" s="14"/>
      <c r="L42" s="14"/>
      <c r="M42" s="14"/>
      <c r="N42" s="14"/>
      <c r="O42" s="14"/>
      <c r="P42" s="14"/>
    </row>
    <row r="43" spans="2:16" ht="5.0999999999999996" customHeight="1" x14ac:dyDescent="0.15">
      <c r="B43" s="2"/>
      <c r="C43" s="31"/>
      <c r="D43" s="2"/>
      <c r="E43" s="2"/>
      <c r="F43" s="21"/>
      <c r="G43" s="3"/>
      <c r="H43" s="14"/>
      <c r="I43" s="14"/>
      <c r="J43" s="14"/>
      <c r="K43" s="14"/>
      <c r="L43" s="14"/>
      <c r="M43" s="14"/>
      <c r="N43" s="14"/>
      <c r="O43" s="14"/>
      <c r="P43" s="14"/>
    </row>
    <row r="44" spans="2:16" x14ac:dyDescent="0.15">
      <c r="B44" s="2"/>
      <c r="C44" s="31"/>
      <c r="D44" s="22"/>
      <c r="E44" s="2"/>
      <c r="F44" s="21"/>
      <c r="G44" s="3" t="s">
        <v>46</v>
      </c>
      <c r="H44" s="20">
        <f>COUNT(H28:H42,8-"")</f>
        <v>0</v>
      </c>
      <c r="I44" s="43"/>
      <c r="J44" s="15"/>
      <c r="K44" s="14"/>
      <c r="L44" s="14"/>
      <c r="M44" s="14"/>
      <c r="N44" s="14"/>
      <c r="O44" s="14"/>
      <c r="P44" s="14"/>
    </row>
    <row r="45" spans="2:16" ht="5.0999999999999996" customHeight="1" x14ac:dyDescent="0.15">
      <c r="B45" s="2"/>
      <c r="C45" s="31"/>
      <c r="D45" s="2"/>
      <c r="E45" s="2"/>
      <c r="F45" s="21"/>
      <c r="G45" s="3"/>
      <c r="H45" s="14"/>
      <c r="I45" s="14"/>
      <c r="J45" s="14"/>
      <c r="K45" s="14"/>
      <c r="L45" s="14"/>
      <c r="M45" s="14"/>
      <c r="N45" s="14"/>
      <c r="O45" s="14"/>
      <c r="P45" s="14"/>
    </row>
    <row r="46" spans="2:16" x14ac:dyDescent="0.15">
      <c r="B46" s="2"/>
      <c r="C46" s="31"/>
      <c r="D46" s="2"/>
      <c r="E46" s="2"/>
      <c r="F46" s="21"/>
      <c r="G46" s="45" t="s">
        <v>45</v>
      </c>
      <c r="H46" s="48">
        <f>SUM(I28:I42)</f>
        <v>0</v>
      </c>
      <c r="I46" s="14"/>
      <c r="J46" s="14"/>
      <c r="K46" s="14"/>
      <c r="L46" s="14"/>
      <c r="M46" s="14"/>
      <c r="N46" s="14"/>
      <c r="O46" s="14"/>
      <c r="P46" s="14"/>
    </row>
    <row r="47" spans="2:16" x14ac:dyDescent="0.15">
      <c r="D47" s="2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2:16" x14ac:dyDescent="0.15">
      <c r="B48" s="13"/>
      <c r="C48" s="133"/>
      <c r="D48" s="133"/>
      <c r="F48" s="14"/>
      <c r="G48" s="14"/>
      <c r="H48" s="14"/>
      <c r="I48" s="14"/>
      <c r="J48" s="14"/>
      <c r="K48" s="14"/>
      <c r="L48" s="41"/>
      <c r="M48" s="14"/>
      <c r="N48" s="14"/>
      <c r="O48" s="14"/>
      <c r="P48" s="14"/>
    </row>
    <row r="49" spans="1:17" x14ac:dyDescent="0.15">
      <c r="B49" s="13"/>
      <c r="C49" s="50"/>
      <c r="D49" s="51"/>
      <c r="F49" s="14"/>
      <c r="G49" s="14"/>
      <c r="H49" s="14"/>
      <c r="I49" s="14"/>
      <c r="J49" s="14"/>
      <c r="K49" s="14"/>
      <c r="L49" s="41" t="s">
        <v>16</v>
      </c>
      <c r="M49" s="14"/>
      <c r="N49" s="14"/>
      <c r="O49" s="14"/>
      <c r="P49" s="14"/>
    </row>
    <row r="50" spans="1:17" x14ac:dyDescent="0.15">
      <c r="A50" s="12"/>
      <c r="B50" s="13"/>
      <c r="C50" s="13"/>
      <c r="D50" s="51"/>
      <c r="F50" s="14"/>
      <c r="G50" s="14"/>
      <c r="H50" s="14"/>
      <c r="I50" s="14"/>
      <c r="J50" s="14"/>
      <c r="K50" s="14"/>
      <c r="L50" s="41" t="s">
        <v>17</v>
      </c>
      <c r="M50" s="14"/>
      <c r="N50" s="14"/>
      <c r="O50" s="14"/>
      <c r="P50" s="14"/>
    </row>
    <row r="51" spans="1:17" x14ac:dyDescent="0.15">
      <c r="A51" s="12"/>
      <c r="B51" s="13"/>
      <c r="C51" s="13"/>
      <c r="D51" s="51"/>
      <c r="F51" s="14"/>
      <c r="G51" s="14"/>
      <c r="H51" s="53" t="s">
        <v>35</v>
      </c>
      <c r="I51" s="53" t="s">
        <v>36</v>
      </c>
      <c r="J51" s="53" t="s">
        <v>37</v>
      </c>
      <c r="K51" s="14"/>
      <c r="L51" s="41" t="s">
        <v>18</v>
      </c>
      <c r="M51" s="14"/>
      <c r="N51" s="14"/>
      <c r="O51" s="14"/>
      <c r="P51" s="14"/>
    </row>
    <row r="52" spans="1:17" x14ac:dyDescent="0.15">
      <c r="A52" s="12"/>
      <c r="B52" s="13"/>
      <c r="C52" s="13"/>
      <c r="D52" s="51"/>
      <c r="F52" s="16"/>
      <c r="G52" s="52" t="s">
        <v>50</v>
      </c>
      <c r="H52" s="15">
        <f>SUM(国保税の計算シート!D29:D31)</f>
        <v>0</v>
      </c>
      <c r="I52" s="15">
        <f>SUM(国保税の計算シート!I29:I30)</f>
        <v>0</v>
      </c>
      <c r="J52" s="15">
        <f>SUM(国保税の計算シート!L29:L30)</f>
        <v>0</v>
      </c>
      <c r="K52" s="14"/>
      <c r="L52" s="14"/>
      <c r="M52" s="14"/>
      <c r="N52" s="14"/>
      <c r="O52" s="14"/>
      <c r="P52" s="14"/>
    </row>
    <row r="53" spans="1:17" x14ac:dyDescent="0.15">
      <c r="B53" s="6"/>
      <c r="C53" s="2"/>
      <c r="D53" s="49"/>
      <c r="F53" s="14"/>
      <c r="G53" s="52" t="s">
        <v>51</v>
      </c>
      <c r="H53" s="63">
        <f>ROUNDDOWN(H52/100,0)*100</f>
        <v>0</v>
      </c>
      <c r="I53" s="63">
        <f>ROUNDDOWN(I52/100,0)*100</f>
        <v>0</v>
      </c>
      <c r="J53" s="14">
        <f>ROUNDDOWN(J52/100,0)*100</f>
        <v>0</v>
      </c>
      <c r="K53" s="14"/>
      <c r="L53" s="14"/>
      <c r="M53" s="14"/>
      <c r="N53" s="14"/>
      <c r="O53" s="14"/>
      <c r="P53" s="14"/>
    </row>
    <row r="54" spans="1:17" ht="14.25" thickBot="1" x14ac:dyDescent="0.2">
      <c r="F54" s="14"/>
      <c r="G54" s="14"/>
      <c r="H54" s="14"/>
      <c r="I54" s="14"/>
      <c r="J54" s="14"/>
      <c r="K54" s="14"/>
      <c r="L54" s="14"/>
      <c r="M54" s="55" t="s">
        <v>28</v>
      </c>
      <c r="N54" s="55" t="s">
        <v>38</v>
      </c>
      <c r="O54" s="55" t="s">
        <v>29</v>
      </c>
      <c r="P54" s="55" t="s">
        <v>30</v>
      </c>
      <c r="Q54" s="55" t="s">
        <v>39</v>
      </c>
    </row>
    <row r="55" spans="1:17" ht="14.25" thickBot="1" x14ac:dyDescent="0.2">
      <c r="F55" s="14"/>
      <c r="G55" s="14"/>
      <c r="H55" s="14"/>
      <c r="I55" s="14"/>
      <c r="J55" s="14"/>
      <c r="K55" s="14"/>
      <c r="L55" s="14" t="s">
        <v>31</v>
      </c>
      <c r="M55" s="62">
        <f>ROUNDDOWN(21000*H22,0)</f>
        <v>0</v>
      </c>
      <c r="N55" s="61">
        <f>ROUNDDOWN(13400*H22,0)</f>
        <v>0</v>
      </c>
      <c r="O55" s="61">
        <f>ROUNDDOWN(15500*H44,0)</f>
        <v>0</v>
      </c>
      <c r="P55" s="36">
        <v>20800</v>
      </c>
      <c r="Q55" s="56">
        <v>0</v>
      </c>
    </row>
    <row r="56" spans="1:17" ht="18" x14ac:dyDescent="0.15">
      <c r="F56" s="14"/>
      <c r="G56" s="1" t="s">
        <v>7</v>
      </c>
      <c r="H56" s="10">
        <f>IF(国保税の計算シート!D32+国保税の計算シート!I32+国保税の計算シート!L32&lt;=6240,0,ROUNDDOWN(国保税の計算シート!D32+国保税の計算シート!I32+国保税の計算シート!L32,-2))</f>
        <v>0</v>
      </c>
      <c r="I56" s="2" t="s">
        <v>0</v>
      </c>
      <c r="J56" s="70" t="str">
        <f>IF(K65="該当",N65,IF(K66="該当",N66,IF(K67="該当",N67,"軽減なし")))</f>
        <v>７割軽減該当</v>
      </c>
      <c r="K56" s="14"/>
      <c r="L56" s="14" t="s">
        <v>32</v>
      </c>
      <c r="M56" s="14">
        <f>ROUNDDOWN(M55*0.3,0)</f>
        <v>0</v>
      </c>
      <c r="N56" s="14">
        <f>ROUNDDOWN(N55*0.3,0)</f>
        <v>0</v>
      </c>
      <c r="O56" s="60">
        <f>ROUNDDOWN(O55*0.3,0)</f>
        <v>0</v>
      </c>
      <c r="P56" s="37">
        <v>6240</v>
      </c>
      <c r="Q56" s="57">
        <v>0</v>
      </c>
    </row>
    <row r="57" spans="1:17" ht="18" x14ac:dyDescent="0.15">
      <c r="F57" s="14"/>
      <c r="G57" s="1"/>
      <c r="H57" s="4"/>
      <c r="I57" s="2"/>
      <c r="J57" s="14"/>
      <c r="K57" s="14"/>
      <c r="L57" s="14" t="s">
        <v>33</v>
      </c>
      <c r="M57" s="14">
        <f>ROUNDDOWN(M55*0.5,0)</f>
        <v>0</v>
      </c>
      <c r="N57" s="14">
        <f>ROUNDDOWN(N55*0.5,0)</f>
        <v>0</v>
      </c>
      <c r="O57" s="60">
        <f>ROUNDDOWN(O55*0.5,0)</f>
        <v>0</v>
      </c>
      <c r="P57" s="37">
        <v>10400</v>
      </c>
      <c r="Q57" s="57">
        <v>0</v>
      </c>
    </row>
    <row r="58" spans="1:17" ht="18.75" thickBot="1" x14ac:dyDescent="0.2">
      <c r="F58" s="14"/>
      <c r="G58" s="1" t="s">
        <v>8</v>
      </c>
      <c r="H58" s="10">
        <f>IF(H56/12&lt;=520,0,ROUNDDOWN(H56/12,0))</f>
        <v>0</v>
      </c>
      <c r="I58" s="2" t="s">
        <v>0</v>
      </c>
      <c r="J58" s="70" t="str">
        <f>IF(国保税の計算シート!F6="","",Mstr!J56)</f>
        <v/>
      </c>
      <c r="K58" s="14"/>
      <c r="L58" s="14" t="s">
        <v>34</v>
      </c>
      <c r="M58" s="14">
        <f>ROUNDDOWN(M55*0.8,0)</f>
        <v>0</v>
      </c>
      <c r="N58" s="14">
        <f>ROUNDDOWN(N55*0.8,0)</f>
        <v>0</v>
      </c>
      <c r="O58" s="60">
        <f>ROUNDDOWN(O55*0.8,0)</f>
        <v>0</v>
      </c>
      <c r="P58" s="58">
        <v>16640</v>
      </c>
      <c r="Q58" s="59">
        <v>0</v>
      </c>
    </row>
    <row r="59" spans="1:17" x14ac:dyDescent="0.15"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7" x14ac:dyDescent="0.15">
      <c r="F60" s="14"/>
      <c r="G60" s="14"/>
      <c r="H60" s="14"/>
      <c r="I60" s="14"/>
      <c r="J60" s="14"/>
      <c r="K60" s="14"/>
      <c r="L60" s="14" t="s">
        <v>75</v>
      </c>
      <c r="M60" s="51">
        <f>VLOOKUP(Mstr!J56,Mstr!$L$54:$Q$58,2,FALSE)</f>
        <v>0</v>
      </c>
      <c r="N60" s="51">
        <f>VLOOKUP(Mstr!$J$56,Mstr!$L$54:$Q$58,3,FALSE)</f>
        <v>0</v>
      </c>
      <c r="O60" s="51">
        <f>VLOOKUP(Mstr!$J$56,Mstr!$L$54:$Q$58,4,FALSE)</f>
        <v>0</v>
      </c>
      <c r="P60" s="14"/>
    </row>
    <row r="61" spans="1:17" x14ac:dyDescent="0.15">
      <c r="F61" s="14"/>
      <c r="G61" s="14"/>
      <c r="H61" s="14"/>
      <c r="I61" s="14"/>
      <c r="J61" s="14"/>
      <c r="K61" s="14"/>
      <c r="L61" s="14" t="s">
        <v>74</v>
      </c>
      <c r="M61" s="51">
        <f>M72*(O72*0.1)*K72</f>
        <v>0</v>
      </c>
      <c r="N61" s="51">
        <f>N72*(O72*0.1)*K72</f>
        <v>0</v>
      </c>
      <c r="O61" s="51"/>
      <c r="P61" s="14"/>
    </row>
    <row r="62" spans="1:17" x14ac:dyDescent="0.15">
      <c r="F62" s="14"/>
      <c r="G62" s="14"/>
      <c r="H62" s="14"/>
      <c r="I62" s="14"/>
      <c r="J62" s="14"/>
      <c r="K62" s="14"/>
      <c r="L62" s="14"/>
      <c r="M62" s="78">
        <f>M60-M61</f>
        <v>0</v>
      </c>
      <c r="N62" s="78">
        <f>N60-N61</f>
        <v>0</v>
      </c>
      <c r="O62" s="78">
        <f>O60</f>
        <v>0</v>
      </c>
      <c r="P62" s="14"/>
    </row>
    <row r="63" spans="1:17" x14ac:dyDescent="0.15">
      <c r="F63" s="14"/>
      <c r="G63" s="14"/>
      <c r="H63" s="14"/>
      <c r="I63" s="14"/>
      <c r="J63" s="14" t="s">
        <v>77</v>
      </c>
      <c r="K63" s="14"/>
      <c r="L63" s="14"/>
      <c r="M63" s="14"/>
      <c r="N63" s="14"/>
      <c r="O63" s="42"/>
      <c r="P63" s="14"/>
    </row>
    <row r="64" spans="1:17" x14ac:dyDescent="0.15">
      <c r="F64" s="14"/>
      <c r="G64" s="54"/>
      <c r="H64" s="54"/>
      <c r="I64" s="14"/>
      <c r="K64" s="14" t="s">
        <v>62</v>
      </c>
      <c r="L64" s="14" t="s">
        <v>60</v>
      </c>
      <c r="M64" s="14" t="s">
        <v>59</v>
      </c>
      <c r="N64" s="14" t="s">
        <v>61</v>
      </c>
      <c r="O64" s="14" t="s">
        <v>73</v>
      </c>
      <c r="P64" s="14"/>
    </row>
    <row r="65" spans="10:15" x14ac:dyDescent="0.15">
      <c r="K65" s="71" t="str">
        <f>IF(L65&gt;=M65,"該当","")</f>
        <v>該当</v>
      </c>
      <c r="L65" s="65">
        <f>430000+100000*IF(国保税の計算シート!F24&lt;1,0,国保税の計算シート!F24-1)</f>
        <v>430000</v>
      </c>
      <c r="M65" s="69">
        <f>$L$24</f>
        <v>0</v>
      </c>
      <c r="N65" s="68" t="s">
        <v>32</v>
      </c>
      <c r="O65" s="7">
        <v>1.5</v>
      </c>
    </row>
    <row r="66" spans="10:15" x14ac:dyDescent="0.15">
      <c r="K66" s="71" t="str">
        <f t="shared" ref="K66:K67" si="0">IF(L66&gt;=M66,"該当","")</f>
        <v>該当</v>
      </c>
      <c r="L66" s="66">
        <f>430000+(295000*L22)+100000*IF(国保税の計算シート!F24&lt;1,0,国保税の計算シート!F24-1)</f>
        <v>430000</v>
      </c>
      <c r="M66" s="69">
        <f t="shared" ref="M66:M67" si="1">$L$24</f>
        <v>0</v>
      </c>
      <c r="N66" s="68" t="s">
        <v>33</v>
      </c>
      <c r="O66" s="7">
        <v>2.5</v>
      </c>
    </row>
    <row r="67" spans="10:15" x14ac:dyDescent="0.15">
      <c r="K67" s="71" t="str">
        <f t="shared" si="0"/>
        <v>該当</v>
      </c>
      <c r="L67" s="67">
        <f>430000+(545000*L22)+100000*IF(国保税の計算シート!F24&lt;1,0,国保税の計算シート!F24-1)</f>
        <v>430000</v>
      </c>
      <c r="M67" s="69">
        <f t="shared" si="1"/>
        <v>0</v>
      </c>
      <c r="N67" s="68" t="s">
        <v>34</v>
      </c>
      <c r="O67" s="32">
        <v>4</v>
      </c>
    </row>
    <row r="70" spans="10:15" x14ac:dyDescent="0.15">
      <c r="J70" t="s">
        <v>68</v>
      </c>
    </row>
    <row r="71" spans="10:15" ht="14.25" thickBot="1" x14ac:dyDescent="0.2">
      <c r="K71" t="s">
        <v>71</v>
      </c>
      <c r="M71" t="s">
        <v>69</v>
      </c>
      <c r="N71" t="s">
        <v>70</v>
      </c>
      <c r="O71" t="s">
        <v>72</v>
      </c>
    </row>
    <row r="72" spans="10:15" ht="14.25" thickBot="1" x14ac:dyDescent="0.2">
      <c r="K72">
        <f>国保税の計算シート!F26</f>
        <v>0</v>
      </c>
      <c r="M72" s="62">
        <v>21000</v>
      </c>
      <c r="N72" s="77">
        <v>13400</v>
      </c>
      <c r="O72">
        <f>IF(K65="該当",O65,IF(K66="該当",O66,IF(K67="該当",O67,5)))</f>
        <v>1.5</v>
      </c>
    </row>
  </sheetData>
  <protectedRanges>
    <protectedRange sqref="D38 D36 D34 D32 D30 D28 D44 D42 D40" name="D4、D6、D8、D10"/>
    <protectedRange sqref="H22 H25:H26 L22" name="D4、D6、D8、D10_1"/>
  </protectedRanges>
  <mergeCells count="1">
    <mergeCell ref="C48:D48"/>
  </mergeCells>
  <phoneticPr fontId="1"/>
  <pageMargins left="0.7" right="0.7" top="0.75" bottom="0.75" header="0.3" footer="0.3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国保税の計算シート</vt:lpstr>
      <vt:lpstr>Mstr</vt:lpstr>
      <vt:lpstr>国保税の計算シート!Print_Area</vt:lpstr>
      <vt:lpstr>国保税の計算シート!年齢選択</vt:lpstr>
      <vt:lpstr>年齢選択</vt:lpstr>
    </vt:vector>
  </TitlesOfParts>
  <Company>TSUBAME-CITY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山宮台介</dc:creator>
  <cp:lastModifiedBy>井島　秀治</cp:lastModifiedBy>
  <cp:lastPrinted>2022-12-19T07:18:03Z</cp:lastPrinted>
  <dcterms:created xsi:type="dcterms:W3CDTF">2013-05-13T10:00:29Z</dcterms:created>
  <dcterms:modified xsi:type="dcterms:W3CDTF">2024-03-23T07:17:20Z</dcterms:modified>
</cp:coreProperties>
</file>