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bm-bjyoho.local\share\120_市民生活部\20_税務課\11_市民税１係・２係\050_国民健康保険税\016_2026\"/>
    </mc:Choice>
  </mc:AlternateContent>
  <workbookProtection workbookPassword="E2DB" lockStructure="1"/>
  <bookViews>
    <workbookView xWindow="-120" yWindow="-120" windowWidth="20730" windowHeight="10890"/>
  </bookViews>
  <sheets>
    <sheet name="国保税の計算シート" sheetId="2" r:id="rId1"/>
    <sheet name="Mstr" sheetId="3" state="hidden" r:id="rId2"/>
  </sheets>
  <definedNames>
    <definedName name="_xlnm.Print_Area" localSheetId="0">国保税の計算シート!$A$1:$P$57</definedName>
    <definedName name="年齢選択" localSheetId="0">Mstr!$L$70:$L$74</definedName>
    <definedName name="年齢選択">Mstr!$L$70:$L$74</definedName>
  </definedNames>
  <calcPr calcId="162913"/>
</workbook>
</file>

<file path=xl/calcChain.xml><?xml version="1.0" encoding="utf-8"?>
<calcChain xmlns="http://schemas.openxmlformats.org/spreadsheetml/2006/main">
  <c r="H22" i="3" l="1"/>
  <c r="H4" i="3" l="1"/>
  <c r="L88" i="3" l="1"/>
  <c r="L22" i="3" l="1"/>
  <c r="L89" i="3" l="1"/>
  <c r="L90" i="3"/>
  <c r="H56" i="3"/>
  <c r="H54" i="3"/>
  <c r="H52" i="3"/>
  <c r="H50" i="3"/>
  <c r="H64" i="3"/>
  <c r="H62" i="3"/>
  <c r="H60" i="3"/>
  <c r="H58" i="3"/>
  <c r="H66" i="3" l="1"/>
  <c r="P78" i="3" s="1"/>
  <c r="I64" i="3"/>
  <c r="I62" i="3"/>
  <c r="I60" i="3"/>
  <c r="I58" i="3"/>
  <c r="I56" i="3"/>
  <c r="I52" i="3"/>
  <c r="I50" i="3"/>
  <c r="H28" i="3"/>
  <c r="P79" i="3" l="1"/>
  <c r="P81" i="3"/>
  <c r="P80" i="3"/>
  <c r="K95" i="3" l="1"/>
  <c r="I4" i="3" l="1"/>
  <c r="H6" i="3"/>
  <c r="M78" i="3" s="1"/>
  <c r="M79" i="3" s="1"/>
  <c r="H8" i="3"/>
  <c r="I8" i="3" s="1"/>
  <c r="H10" i="3"/>
  <c r="I10" i="3" s="1"/>
  <c r="H12" i="3"/>
  <c r="I12" i="3" s="1"/>
  <c r="H14" i="3"/>
  <c r="I14" i="3" s="1"/>
  <c r="H16" i="3"/>
  <c r="I16" i="3" s="1"/>
  <c r="H18" i="3"/>
  <c r="I18" i="3" s="1"/>
  <c r="H20" i="3"/>
  <c r="I20" i="3" s="1"/>
  <c r="I28" i="3"/>
  <c r="H30" i="3"/>
  <c r="H32" i="3"/>
  <c r="I32" i="3" s="1"/>
  <c r="H34" i="3"/>
  <c r="I34" i="3" s="1"/>
  <c r="H36" i="3"/>
  <c r="I36" i="3" s="1"/>
  <c r="H38" i="3"/>
  <c r="I38" i="3" s="1"/>
  <c r="H40" i="3"/>
  <c r="I40" i="3" s="1"/>
  <c r="H42" i="3"/>
  <c r="I42" i="3" s="1"/>
  <c r="H44" i="3" l="1"/>
  <c r="O78" i="3" s="1"/>
  <c r="O79" i="3" s="1"/>
  <c r="I6" i="3"/>
  <c r="H24" i="3" s="1"/>
  <c r="D29" i="2" s="1"/>
  <c r="L24" i="3"/>
  <c r="M88" i="3" s="1"/>
  <c r="K88" i="3" s="1"/>
  <c r="I30" i="3"/>
  <c r="H46" i="3" s="1"/>
  <c r="L29" i="2" s="1"/>
  <c r="M80" i="3"/>
  <c r="M81" i="3"/>
  <c r="N78" i="3"/>
  <c r="O81" i="3" l="1"/>
  <c r="I29" i="2"/>
  <c r="M90" i="3"/>
  <c r="K90" i="3" s="1"/>
  <c r="M89" i="3"/>
  <c r="K89" i="3" s="1"/>
  <c r="N79" i="3"/>
  <c r="N81" i="3"/>
  <c r="N80" i="3"/>
  <c r="J79" i="3" l="1"/>
  <c r="D31" i="2" s="1"/>
  <c r="P95" i="3"/>
  <c r="P84" i="3" s="1"/>
  <c r="O80" i="3"/>
  <c r="N84" i="3" l="1"/>
  <c r="P83" i="3"/>
  <c r="P85" i="3" s="1"/>
  <c r="O30" i="2" s="1"/>
  <c r="O83" i="3"/>
  <c r="O85" i="3" s="1"/>
  <c r="L30" i="2" s="1"/>
  <c r="J81" i="3"/>
  <c r="G35" i="2" s="1"/>
  <c r="M83" i="3"/>
  <c r="M84" i="3"/>
  <c r="N83" i="3"/>
  <c r="N85" i="3" l="1"/>
  <c r="I30" i="2" s="1"/>
  <c r="M85" i="3"/>
  <c r="D30" i="2" l="1"/>
  <c r="J75" i="3"/>
  <c r="J76" i="3" s="1"/>
  <c r="L32" i="2" s="1"/>
  <c r="I75" i="3"/>
  <c r="I76" i="3" s="1"/>
  <c r="I32" i="2" s="1"/>
  <c r="H75" i="3" l="1"/>
  <c r="H76" i="3" s="1"/>
  <c r="D32" i="2" s="1"/>
  <c r="I54" i="3"/>
  <c r="H68" i="3" s="1"/>
  <c r="O29" i="2" s="1"/>
  <c r="K75" i="3" s="1"/>
  <c r="K76" i="3" s="1"/>
  <c r="O32" i="2" s="1"/>
  <c r="H79" i="3" l="1"/>
  <c r="D35" i="2" s="1"/>
  <c r="H81" i="3" l="1"/>
  <c r="D37" i="2" s="1"/>
</calcChain>
</file>

<file path=xl/sharedStrings.xml><?xml version="1.0" encoding="utf-8"?>
<sst xmlns="http://schemas.openxmlformats.org/spreadsheetml/2006/main" count="122" uniqueCount="94">
  <si>
    <t>円</t>
    <rPh sb="0" eb="1">
      <t>エン</t>
    </rPh>
    <phoneticPr fontId="1"/>
  </si>
  <si>
    <t>医療分</t>
    <rPh sb="0" eb="2">
      <t>イリョウ</t>
    </rPh>
    <rPh sb="2" eb="3">
      <t>ブン</t>
    </rPh>
    <phoneticPr fontId="1"/>
  </si>
  <si>
    <t>所得割</t>
    <rPh sb="0" eb="2">
      <t>ショトク</t>
    </rPh>
    <rPh sb="2" eb="3">
      <t>ワリ</t>
    </rPh>
    <phoneticPr fontId="1"/>
  </si>
  <si>
    <t>平等割</t>
    <rPh sb="0" eb="2">
      <t>ビョウドウ</t>
    </rPh>
    <rPh sb="2" eb="3">
      <t>ワリ</t>
    </rPh>
    <phoneticPr fontId="1"/>
  </si>
  <si>
    <t>合計</t>
    <rPh sb="0" eb="2">
      <t>ゴウケイ</t>
    </rPh>
    <phoneticPr fontId="1"/>
  </si>
  <si>
    <t>均等割</t>
    <rPh sb="0" eb="3">
      <t>キントウワリ</t>
    </rPh>
    <phoneticPr fontId="1"/>
  </si>
  <si>
    <t>円</t>
    <rPh sb="0" eb="1">
      <t>エン</t>
    </rPh>
    <phoneticPr fontId="1"/>
  </si>
  <si>
    <t>年間の国民健康保険税額</t>
    <rPh sb="0" eb="2">
      <t>ネンカン</t>
    </rPh>
    <rPh sb="3" eb="5">
      <t>コクミン</t>
    </rPh>
    <rPh sb="5" eb="7">
      <t>ケンコウ</t>
    </rPh>
    <rPh sb="7" eb="9">
      <t>ホケン</t>
    </rPh>
    <rPh sb="9" eb="11">
      <t>ゼイガク</t>
    </rPh>
    <phoneticPr fontId="1"/>
  </si>
  <si>
    <t>１か月あたりの平均国民健康保険税額</t>
    <rPh sb="2" eb="3">
      <t>ゲツ</t>
    </rPh>
    <rPh sb="7" eb="9">
      <t>ヘイキン</t>
    </rPh>
    <rPh sb="9" eb="11">
      <t>コクミン</t>
    </rPh>
    <rPh sb="11" eb="13">
      <t>ケンコウ</t>
    </rPh>
    <rPh sb="13" eb="15">
      <t>ホケン</t>
    </rPh>
    <rPh sb="15" eb="17">
      <t>ゼイガク</t>
    </rPh>
    <phoneticPr fontId="1"/>
  </si>
  <si>
    <t>（２人目）</t>
    <phoneticPr fontId="1"/>
  </si>
  <si>
    <t>（３人目）</t>
    <phoneticPr fontId="1"/>
  </si>
  <si>
    <t>（４人目）</t>
    <phoneticPr fontId="1"/>
  </si>
  <si>
    <t>（５人目）</t>
    <phoneticPr fontId="1"/>
  </si>
  <si>
    <t>（６人目）</t>
    <phoneticPr fontId="1"/>
  </si>
  <si>
    <t>（１人目）</t>
    <rPh sb="2" eb="4">
      <t>ヒトメ</t>
    </rPh>
    <phoneticPr fontId="1"/>
  </si>
  <si>
    <t>４０歳～６４歳</t>
    <rPh sb="2" eb="3">
      <t>サイ</t>
    </rPh>
    <rPh sb="6" eb="7">
      <t>サイ</t>
    </rPh>
    <phoneticPr fontId="1"/>
  </si>
  <si>
    <t>６５歳～７４歳</t>
    <rPh sb="2" eb="3">
      <t>サイ</t>
    </rPh>
    <rPh sb="6" eb="7">
      <t>サイ</t>
    </rPh>
    <phoneticPr fontId="1"/>
  </si>
  <si>
    <t>医療・後期</t>
    <rPh sb="0" eb="2">
      <t>イリョウ</t>
    </rPh>
    <rPh sb="3" eb="5">
      <t>コウキ</t>
    </rPh>
    <phoneticPr fontId="1"/>
  </si>
  <si>
    <t>介護</t>
    <rPh sb="0" eb="2">
      <t>カイゴ</t>
    </rPh>
    <phoneticPr fontId="1"/>
  </si>
  <si>
    <t>総所得</t>
    <rPh sb="0" eb="3">
      <t>ソウショトク</t>
    </rPh>
    <phoneticPr fontId="1"/>
  </si>
  <si>
    <t>課税標準</t>
    <rPh sb="0" eb="2">
      <t>カゼイ</t>
    </rPh>
    <rPh sb="2" eb="4">
      <t>ヒョウジュン</t>
    </rPh>
    <phoneticPr fontId="1"/>
  </si>
  <si>
    <t>（７人目）</t>
    <phoneticPr fontId="1"/>
  </si>
  <si>
    <t>（８人目）</t>
    <phoneticPr fontId="1"/>
  </si>
  <si>
    <t>（7人目）</t>
    <rPh sb="2" eb="4">
      <t>ヒトメ</t>
    </rPh>
    <phoneticPr fontId="1"/>
  </si>
  <si>
    <t>（8人目）</t>
    <phoneticPr fontId="1"/>
  </si>
  <si>
    <t>（７人目）</t>
    <rPh sb="2" eb="4">
      <t>ヒトメ</t>
    </rPh>
    <phoneticPr fontId="1"/>
  </si>
  <si>
    <t>医療・均等割</t>
    <rPh sb="0" eb="2">
      <t>イリョウ</t>
    </rPh>
    <rPh sb="3" eb="6">
      <t>キントウワ</t>
    </rPh>
    <phoneticPr fontId="1"/>
  </si>
  <si>
    <t>介護・均等割</t>
    <rPh sb="0" eb="2">
      <t>カイゴ</t>
    </rPh>
    <rPh sb="3" eb="6">
      <t>キントウワ</t>
    </rPh>
    <phoneticPr fontId="1"/>
  </si>
  <si>
    <t>医療・平等</t>
    <rPh sb="0" eb="2">
      <t>イリョウ</t>
    </rPh>
    <rPh sb="3" eb="5">
      <t>ビョウドウ</t>
    </rPh>
    <phoneticPr fontId="1"/>
  </si>
  <si>
    <t>軽減なし</t>
    <rPh sb="0" eb="2">
      <t>ケイゲン</t>
    </rPh>
    <phoneticPr fontId="1"/>
  </si>
  <si>
    <t>７割軽減該当</t>
    <rPh sb="1" eb="2">
      <t>ワリ</t>
    </rPh>
    <rPh sb="2" eb="4">
      <t>ケイゲン</t>
    </rPh>
    <rPh sb="4" eb="6">
      <t>ガイトウ</t>
    </rPh>
    <phoneticPr fontId="1"/>
  </si>
  <si>
    <t>５割軽減該当</t>
    <rPh sb="1" eb="2">
      <t>ワリ</t>
    </rPh>
    <rPh sb="2" eb="4">
      <t>ケイゲン</t>
    </rPh>
    <rPh sb="4" eb="6">
      <t>ガイトウ</t>
    </rPh>
    <phoneticPr fontId="1"/>
  </si>
  <si>
    <t>２割軽減該当</t>
    <rPh sb="1" eb="2">
      <t>ワリ</t>
    </rPh>
    <rPh sb="2" eb="4">
      <t>ケイゲン</t>
    </rPh>
    <rPh sb="4" eb="6">
      <t>ガイトウ</t>
    </rPh>
    <phoneticPr fontId="1"/>
  </si>
  <si>
    <t>医療合計</t>
    <rPh sb="0" eb="2">
      <t>イリョウ</t>
    </rPh>
    <rPh sb="2" eb="4">
      <t>ゴウケイ</t>
    </rPh>
    <phoneticPr fontId="1"/>
  </si>
  <si>
    <t>支援合計</t>
    <rPh sb="0" eb="2">
      <t>シエン</t>
    </rPh>
    <rPh sb="2" eb="4">
      <t>ゴウケイ</t>
    </rPh>
    <phoneticPr fontId="1"/>
  </si>
  <si>
    <t>介護合計</t>
    <rPh sb="0" eb="2">
      <t>カイゴ</t>
    </rPh>
    <rPh sb="2" eb="4">
      <t>ゴウケイ</t>
    </rPh>
    <phoneticPr fontId="1"/>
  </si>
  <si>
    <t>支援・均等割</t>
    <rPh sb="0" eb="2">
      <t>シエン</t>
    </rPh>
    <rPh sb="3" eb="6">
      <t>キントウワ</t>
    </rPh>
    <phoneticPr fontId="1"/>
  </si>
  <si>
    <t>（擬主）</t>
    <rPh sb="1" eb="2">
      <t>ギ</t>
    </rPh>
    <rPh sb="2" eb="3">
      <t>ヌシ</t>
    </rPh>
    <phoneticPr fontId="1"/>
  </si>
  <si>
    <t>加入者数</t>
    <rPh sb="0" eb="3">
      <t>カニュウシャ</t>
    </rPh>
    <rPh sb="3" eb="4">
      <t>スウ</t>
    </rPh>
    <phoneticPr fontId="1"/>
  </si>
  <si>
    <t>合計額</t>
    <rPh sb="0" eb="2">
      <t>ゴウケイ</t>
    </rPh>
    <rPh sb="2" eb="3">
      <t>ガク</t>
    </rPh>
    <phoneticPr fontId="1"/>
  </si>
  <si>
    <t>軽減判定用</t>
    <rPh sb="0" eb="2">
      <t>ケイゲン</t>
    </rPh>
    <rPh sb="2" eb="5">
      <t>ハンテイヨウ</t>
    </rPh>
    <phoneticPr fontId="1"/>
  </si>
  <si>
    <t>人数</t>
    <rPh sb="0" eb="2">
      <t>ニンズウ</t>
    </rPh>
    <phoneticPr fontId="1"/>
  </si>
  <si>
    <t>介護合計額</t>
    <rPh sb="0" eb="2">
      <t>カイゴ</t>
    </rPh>
    <rPh sb="2" eb="4">
      <t>ゴウケイ</t>
    </rPh>
    <rPh sb="4" eb="5">
      <t>ガク</t>
    </rPh>
    <phoneticPr fontId="1"/>
  </si>
  <si>
    <t>介護該当人数</t>
    <rPh sb="0" eb="2">
      <t>カイゴ</t>
    </rPh>
    <rPh sb="2" eb="4">
      <t>ガイトウ</t>
    </rPh>
    <rPh sb="4" eb="6">
      <t>ニンズウ</t>
    </rPh>
    <phoneticPr fontId="1"/>
  </si>
  <si>
    <t>後期高齢者支援金分</t>
    <rPh sb="0" eb="2">
      <t>コウキ</t>
    </rPh>
    <rPh sb="2" eb="5">
      <t>コウレイシャ</t>
    </rPh>
    <rPh sb="5" eb="7">
      <t>シエン</t>
    </rPh>
    <rPh sb="7" eb="8">
      <t>キン</t>
    </rPh>
    <rPh sb="8" eb="9">
      <t>ブン</t>
    </rPh>
    <phoneticPr fontId="1"/>
  </si>
  <si>
    <t>介護保険料分（４０～６４歳）</t>
    <rPh sb="0" eb="2">
      <t>カイゴ</t>
    </rPh>
    <rPh sb="2" eb="5">
      <t>ホケンリョウ</t>
    </rPh>
    <rPh sb="5" eb="6">
      <t>ブン</t>
    </rPh>
    <rPh sb="12" eb="13">
      <t>サイ</t>
    </rPh>
    <phoneticPr fontId="1"/>
  </si>
  <si>
    <t>年齢区分</t>
    <rPh sb="0" eb="2">
      <t>ネンレイ</t>
    </rPh>
    <rPh sb="2" eb="4">
      <t>クブン</t>
    </rPh>
    <phoneticPr fontId="1"/>
  </si>
  <si>
    <t>端数処理前</t>
    <rPh sb="0" eb="2">
      <t>ハスウ</t>
    </rPh>
    <rPh sb="2" eb="4">
      <t>ショリ</t>
    </rPh>
    <rPh sb="4" eb="5">
      <t>マエ</t>
    </rPh>
    <phoneticPr fontId="1"/>
  </si>
  <si>
    <t>端数処理後</t>
    <rPh sb="0" eb="2">
      <t>ハスウ</t>
    </rPh>
    <rPh sb="2" eb="4">
      <t>ショリ</t>
    </rPh>
    <rPh sb="4" eb="5">
      <t>ゴ</t>
    </rPh>
    <phoneticPr fontId="1"/>
  </si>
  <si>
    <t>１人あたり　１３，４００円</t>
    <rPh sb="1" eb="2">
      <t>ヒト</t>
    </rPh>
    <rPh sb="12" eb="13">
      <t>エン</t>
    </rPh>
    <phoneticPr fontId="1"/>
  </si>
  <si>
    <t>燕市国民健康保険税試算シート</t>
    <rPh sb="0" eb="2">
      <t>ツバメシ</t>
    </rPh>
    <rPh sb="2" eb="4">
      <t>コクミン</t>
    </rPh>
    <rPh sb="4" eb="6">
      <t>ケンコウ</t>
    </rPh>
    <rPh sb="6" eb="8">
      <t>ホケン</t>
    </rPh>
    <rPh sb="8" eb="9">
      <t>ゼイ</t>
    </rPh>
    <rPh sb="9" eb="11">
      <t>シサン</t>
    </rPh>
    <phoneticPr fontId="1"/>
  </si>
  <si>
    <t>限度額１７万</t>
    <rPh sb="0" eb="2">
      <t>ゲンド</t>
    </rPh>
    <rPh sb="2" eb="3">
      <t>ガク</t>
    </rPh>
    <rPh sb="5" eb="6">
      <t>マン</t>
    </rPh>
    <phoneticPr fontId="1"/>
  </si>
  <si>
    <t>（単位：円）</t>
    <phoneticPr fontId="1"/>
  </si>
  <si>
    <t>比較用</t>
    <rPh sb="0" eb="3">
      <t>ヒカクヨウ</t>
    </rPh>
    <phoneticPr fontId="1"/>
  </si>
  <si>
    <t>計算値</t>
    <rPh sb="0" eb="3">
      <t>ケイサンチ</t>
    </rPh>
    <phoneticPr fontId="1"/>
  </si>
  <si>
    <t>軽減割合</t>
    <rPh sb="0" eb="2">
      <t>ケイゲン</t>
    </rPh>
    <rPh sb="2" eb="4">
      <t>ワリアイ</t>
    </rPh>
    <phoneticPr fontId="1"/>
  </si>
  <si>
    <t>該当かどうか</t>
    <phoneticPr fontId="1"/>
  </si>
  <si>
    <t>（総所得額－基礎控除４３万円）×２．４０％</t>
    <rPh sb="1" eb="5">
      <t>ソウショトクガク</t>
    </rPh>
    <rPh sb="6" eb="8">
      <t>キソ</t>
    </rPh>
    <rPh sb="8" eb="10">
      <t>コウジョ</t>
    </rPh>
    <rPh sb="12" eb="14">
      <t>マンエン</t>
    </rPh>
    <phoneticPr fontId="1"/>
  </si>
  <si>
    <t>１人あたり　２１，０００円</t>
    <rPh sb="1" eb="2">
      <t>ヒト</t>
    </rPh>
    <rPh sb="12" eb="13">
      <t>エン</t>
    </rPh>
    <phoneticPr fontId="1"/>
  </si>
  <si>
    <t>１世帯あたり　２０，８００円</t>
    <rPh sb="1" eb="3">
      <t>セタイ</t>
    </rPh>
    <rPh sb="13" eb="14">
      <t>エン</t>
    </rPh>
    <phoneticPr fontId="1"/>
  </si>
  <si>
    <t>（総所得額－基礎控除４３万円）×２．５０％</t>
    <rPh sb="1" eb="5">
      <t>ソウショトクガク</t>
    </rPh>
    <rPh sb="6" eb="8">
      <t>キソ</t>
    </rPh>
    <rPh sb="8" eb="10">
      <t>コウジョ</t>
    </rPh>
    <rPh sb="12" eb="14">
      <t>マンエン</t>
    </rPh>
    <phoneticPr fontId="1"/>
  </si>
  <si>
    <t>未就学児の数に応じた均等割の減額</t>
    <rPh sb="0" eb="3">
      <t>ミシュウガク</t>
    </rPh>
    <rPh sb="5" eb="6">
      <t>カズ</t>
    </rPh>
    <rPh sb="7" eb="8">
      <t>オウ</t>
    </rPh>
    <rPh sb="10" eb="12">
      <t>キントウ</t>
    </rPh>
    <rPh sb="12" eb="13">
      <t>ワリ</t>
    </rPh>
    <rPh sb="14" eb="16">
      <t>ゲンガク</t>
    </rPh>
    <phoneticPr fontId="1"/>
  </si>
  <si>
    <t>医療・均等割</t>
    <phoneticPr fontId="1"/>
  </si>
  <si>
    <t>支援・均等割</t>
    <phoneticPr fontId="1"/>
  </si>
  <si>
    <t>人数</t>
    <rPh sb="0" eb="2">
      <t>ニンズウ</t>
    </rPh>
    <phoneticPr fontId="1"/>
  </si>
  <si>
    <t>減額の割合</t>
    <rPh sb="0" eb="2">
      <t>ゲンガク</t>
    </rPh>
    <rPh sb="3" eb="5">
      <t>ワリアイ</t>
    </rPh>
    <phoneticPr fontId="1"/>
  </si>
  <si>
    <t>未就学児の均等割の減額</t>
    <rPh sb="0" eb="4">
      <t>ミシュウガクジ</t>
    </rPh>
    <rPh sb="5" eb="8">
      <t>キントウワ</t>
    </rPh>
    <rPh sb="9" eb="11">
      <t>ゲンガク</t>
    </rPh>
    <phoneticPr fontId="1"/>
  </si>
  <si>
    <t>未就学児減額分</t>
    <rPh sb="0" eb="4">
      <t>ミシュウガクジ</t>
    </rPh>
    <rPh sb="4" eb="6">
      <t>ゲンガク</t>
    </rPh>
    <rPh sb="6" eb="7">
      <t>ブン</t>
    </rPh>
    <phoneticPr fontId="1"/>
  </si>
  <si>
    <t>決定額</t>
    <rPh sb="0" eb="2">
      <t>ケッテイ</t>
    </rPh>
    <rPh sb="2" eb="3">
      <t>ガク</t>
    </rPh>
    <phoneticPr fontId="1"/>
  </si>
  <si>
    <t>給与所得者等の人数</t>
    <rPh sb="0" eb="5">
      <t>キュウヨショトクシャ</t>
    </rPh>
    <rPh sb="5" eb="6">
      <t>トウ</t>
    </rPh>
    <rPh sb="7" eb="8">
      <t>ニン</t>
    </rPh>
    <rPh sb="8" eb="9">
      <t>カズ</t>
    </rPh>
    <phoneticPr fontId="1"/>
  </si>
  <si>
    <t>（総所得額－基礎控除４３万円）×５．８０％</t>
    <rPh sb="1" eb="5">
      <t>ソウショトクガク</t>
    </rPh>
    <rPh sb="6" eb="8">
      <t>キソ</t>
    </rPh>
    <rPh sb="8" eb="10">
      <t>コウジョ</t>
    </rPh>
    <rPh sb="12" eb="14">
      <t>マンエン</t>
    </rPh>
    <phoneticPr fontId="1"/>
  </si>
  <si>
    <t>【試算手順】①～④の順番に入力してください。</t>
    <rPh sb="1" eb="3">
      <t>シサン</t>
    </rPh>
    <rPh sb="3" eb="5">
      <t>テジュン</t>
    </rPh>
    <rPh sb="10" eb="12">
      <t>ジュンバン</t>
    </rPh>
    <rPh sb="13" eb="15">
      <t>ニュウリョク</t>
    </rPh>
    <phoneticPr fontId="1"/>
  </si>
  <si>
    <t>　</t>
    <phoneticPr fontId="1"/>
  </si>
  <si>
    <t>限度額２６万</t>
    <rPh sb="0" eb="2">
      <t>ゲンド</t>
    </rPh>
    <rPh sb="2" eb="3">
      <t>ガク</t>
    </rPh>
    <rPh sb="5" eb="6">
      <t>マン</t>
    </rPh>
    <phoneticPr fontId="1"/>
  </si>
  <si>
    <t>給与所得者等の人数</t>
    <phoneticPr fontId="1"/>
  </si>
  <si>
    <t>未就学児の人数</t>
    <phoneticPr fontId="1"/>
  </si>
  <si>
    <t>総所得額</t>
    <phoneticPr fontId="1"/>
  </si>
  <si>
    <t>（１人目）</t>
  </si>
  <si>
    <t>令和8年4月1日更新</t>
    <rPh sb="0" eb="2">
      <t>レイワ</t>
    </rPh>
    <rPh sb="3" eb="4">
      <t>ネン</t>
    </rPh>
    <rPh sb="5" eb="6">
      <t>ガツ</t>
    </rPh>
    <rPh sb="7" eb="8">
      <t>ニチ</t>
    </rPh>
    <rPh sb="8" eb="10">
      <t>コウシン</t>
    </rPh>
    <phoneticPr fontId="1"/>
  </si>
  <si>
    <t>子ども・子育て</t>
    <rPh sb="0" eb="1">
      <t>コ</t>
    </rPh>
    <rPh sb="4" eb="6">
      <t>コソダ</t>
    </rPh>
    <phoneticPr fontId="1"/>
  </si>
  <si>
    <t>子ども・子育て該当人数</t>
    <rPh sb="0" eb="1">
      <t>コ</t>
    </rPh>
    <rPh sb="4" eb="6">
      <t>コソダ</t>
    </rPh>
    <rPh sb="7" eb="9">
      <t>ガイトウ</t>
    </rPh>
    <rPh sb="9" eb="11">
      <t>ニンズウ</t>
    </rPh>
    <phoneticPr fontId="1"/>
  </si>
  <si>
    <t>子ども・子育て合計額</t>
    <rPh sb="0" eb="1">
      <t>コ</t>
    </rPh>
    <rPh sb="4" eb="6">
      <t>コソダ</t>
    </rPh>
    <rPh sb="7" eb="9">
      <t>ゴウケイ</t>
    </rPh>
    <rPh sb="9" eb="10">
      <t>ガク</t>
    </rPh>
    <phoneticPr fontId="1"/>
  </si>
  <si>
    <t>１９歳～３９歳</t>
    <rPh sb="2" eb="3">
      <t>サイ</t>
    </rPh>
    <rPh sb="6" eb="7">
      <t>サイ</t>
    </rPh>
    <phoneticPr fontId="1"/>
  </si>
  <si>
    <t>子ども・均等割</t>
    <rPh sb="0" eb="1">
      <t>コ</t>
    </rPh>
    <rPh sb="4" eb="7">
      <t>キントウワ</t>
    </rPh>
    <phoneticPr fontId="1"/>
  </si>
  <si>
    <t>０歳～１８歳</t>
    <rPh sb="1" eb="2">
      <t>サイ</t>
    </rPh>
    <rPh sb="5" eb="6">
      <t>サイ</t>
    </rPh>
    <phoneticPr fontId="1"/>
  </si>
  <si>
    <t>子ども合計</t>
    <rPh sb="0" eb="1">
      <t>コ</t>
    </rPh>
    <rPh sb="3" eb="5">
      <t>ゴウケイ</t>
    </rPh>
    <phoneticPr fontId="1"/>
  </si>
  <si>
    <t>限度額３万</t>
    <rPh sb="0" eb="2">
      <t>ゲンド</t>
    </rPh>
    <rPh sb="2" eb="3">
      <t>ガク</t>
    </rPh>
    <rPh sb="4" eb="5">
      <t>マン</t>
    </rPh>
    <phoneticPr fontId="1"/>
  </si>
  <si>
    <t>（総所得額－基礎控除４３万円）×　０．２９％</t>
    <rPh sb="1" eb="5">
      <t>ソウショトクガク</t>
    </rPh>
    <rPh sb="6" eb="8">
      <t>キソ</t>
    </rPh>
    <rPh sb="8" eb="10">
      <t>コウジョ</t>
    </rPh>
    <rPh sb="12" eb="14">
      <t>マンエン</t>
    </rPh>
    <phoneticPr fontId="1"/>
  </si>
  <si>
    <t>１人あたり　１，８００円</t>
    <rPh sb="1" eb="2">
      <t>ヒト</t>
    </rPh>
    <rPh sb="11" eb="12">
      <t>エン</t>
    </rPh>
    <phoneticPr fontId="1"/>
  </si>
  <si>
    <t>１人あたり　１５，５００円</t>
    <rPh sb="1" eb="2">
      <t>ヒト</t>
    </rPh>
    <rPh sb="12" eb="13">
      <t>エン</t>
    </rPh>
    <phoneticPr fontId="1"/>
  </si>
  <si>
    <t>子ども・均等割</t>
    <rPh sb="0" eb="1">
      <t>コ</t>
    </rPh>
    <rPh sb="4" eb="7">
      <t>キントウワリ</t>
    </rPh>
    <phoneticPr fontId="1"/>
  </si>
  <si>
    <t>限度額６７万</t>
    <rPh sb="0" eb="2">
      <t>ゲンド</t>
    </rPh>
    <rPh sb="2" eb="3">
      <t>ガク</t>
    </rPh>
    <rPh sb="5" eb="6">
      <t>マン</t>
    </rPh>
    <phoneticPr fontId="1"/>
  </si>
  <si>
    <t>子ども・子育て支援金分（※）</t>
    <rPh sb="0" eb="1">
      <t>コ</t>
    </rPh>
    <rPh sb="4" eb="6">
      <t>コソダ</t>
    </rPh>
    <rPh sb="7" eb="10">
      <t>シエンキン</t>
    </rPh>
    <rPh sb="10" eb="11">
      <t>ブン</t>
    </rPh>
    <phoneticPr fontId="1"/>
  </si>
  <si>
    <t>(※)１８歳に達する日以降の最初の３月３１日以前
 までの方については、子ども・子育て支援金分の
 均等割がかかりません。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</si>
</sst>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3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color theme="8" tint="-0.24997711111789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1"/>
      <color theme="3" tint="-0.249977111117893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ed">
        <color rgb="FFFF0000"/>
      </bottom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/>
      <right style="mediumDashed">
        <color rgb="FFFF0000"/>
      </right>
      <top/>
      <bottom/>
      <diagonal/>
    </border>
    <border>
      <left/>
      <right style="mediumDashed">
        <color rgb="FFFF0000"/>
      </right>
      <top/>
      <bottom style="mediumDashed">
        <color rgb="FFFF0000"/>
      </bottom>
      <diagonal/>
    </border>
    <border>
      <left/>
      <right/>
      <top style="mediumDashed">
        <color rgb="FFFF0000"/>
      </top>
      <bottom style="mediumDashed">
        <color rgb="FFFF0000"/>
      </bottom>
      <diagonal/>
    </border>
    <border>
      <left style="mediumDashed">
        <color rgb="FFFF0000"/>
      </left>
      <right/>
      <top style="mediumDashed">
        <color rgb="FFFF0000"/>
      </top>
      <bottom style="mediumDashed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 style="mediumDashed">
        <color rgb="FFFF0000"/>
      </left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7" fillId="0" borderId="0" xfId="0" applyFont="1" applyAlignment="1">
      <alignment horizontal="right" vertical="center"/>
    </xf>
    <xf numFmtId="38" fontId="8" fillId="0" borderId="0" xfId="1" applyFont="1" applyFill="1">
      <alignment vertical="center"/>
    </xf>
    <xf numFmtId="38" fontId="4" fillId="0" borderId="0" xfId="1" applyFont="1" applyFill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>
      <alignment vertical="center"/>
    </xf>
    <xf numFmtId="38" fontId="4" fillId="0" borderId="2" xfId="1" applyFont="1" applyBorder="1" applyProtection="1">
      <alignment vertical="center"/>
      <protection hidden="1"/>
    </xf>
    <xf numFmtId="38" fontId="4" fillId="2" borderId="2" xfId="1" applyFont="1" applyFill="1" applyBorder="1" applyProtection="1">
      <alignment vertical="center"/>
      <protection hidden="1"/>
    </xf>
    <xf numFmtId="38" fontId="8" fillId="3" borderId="0" xfId="1" applyFont="1" applyFill="1" applyProtection="1">
      <alignment vertical="center"/>
      <protection hidden="1"/>
    </xf>
    <xf numFmtId="0" fontId="11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12" fillId="0" borderId="0" xfId="0" applyFont="1">
      <alignment vertical="center"/>
    </xf>
    <xf numFmtId="38" fontId="12" fillId="0" borderId="0" xfId="0" applyNumberFormat="1" applyFont="1">
      <alignment vertical="center"/>
    </xf>
    <xf numFmtId="0" fontId="13" fillId="0" borderId="0" xfId="0" applyFont="1" applyAlignment="1">
      <alignment horizontal="right" vertical="center"/>
    </xf>
    <xf numFmtId="0" fontId="0" fillId="0" borderId="0" xfId="0" applyFill="1" applyAlignment="1">
      <alignment horizontal="right" vertical="center"/>
    </xf>
    <xf numFmtId="38" fontId="8" fillId="0" borderId="0" xfId="1" applyFont="1" applyFill="1" applyProtection="1">
      <alignment vertical="center"/>
      <protection hidden="1"/>
    </xf>
    <xf numFmtId="38" fontId="4" fillId="4" borderId="0" xfId="1" applyFont="1" applyFill="1" applyProtection="1">
      <alignment vertical="center"/>
    </xf>
    <xf numFmtId="38" fontId="4" fillId="5" borderId="0" xfId="1" applyFont="1" applyFill="1" applyProtection="1">
      <alignment vertical="center"/>
    </xf>
    <xf numFmtId="0" fontId="12" fillId="0" borderId="0" xfId="0" applyFont="1" applyFill="1">
      <alignment vertical="center"/>
    </xf>
    <xf numFmtId="38" fontId="4" fillId="0" borderId="0" xfId="1" applyFont="1" applyFill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12" fillId="6" borderId="0" xfId="0" applyFont="1" applyFill="1">
      <alignment vertical="center"/>
    </xf>
    <xf numFmtId="38" fontId="12" fillId="6" borderId="0" xfId="0" applyNumberFormat="1" applyFont="1" applyFill="1">
      <alignment vertical="center"/>
    </xf>
    <xf numFmtId="0" fontId="12" fillId="7" borderId="0" xfId="0" applyFont="1" applyFill="1">
      <alignment vertical="center"/>
    </xf>
    <xf numFmtId="38" fontId="12" fillId="7" borderId="0" xfId="0" applyNumberFormat="1" applyFont="1" applyFill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15" fillId="0" borderId="0" xfId="0" applyFont="1">
      <alignment vertical="center"/>
    </xf>
    <xf numFmtId="38" fontId="4" fillId="0" borderId="0" xfId="1" applyFont="1" applyFill="1" applyProtection="1">
      <alignment vertical="center"/>
    </xf>
    <xf numFmtId="38" fontId="6" fillId="0" borderId="0" xfId="1" applyFont="1" applyFill="1" applyProtection="1">
      <alignment vertical="center"/>
    </xf>
    <xf numFmtId="38" fontId="4" fillId="0" borderId="4" xfId="1" applyFont="1" applyBorder="1" applyProtection="1">
      <alignment vertical="center"/>
      <protection hidden="1"/>
    </xf>
    <xf numFmtId="38" fontId="4" fillId="0" borderId="0" xfId="1" applyFont="1" applyBorder="1" applyProtection="1">
      <alignment vertical="center"/>
      <protection hidden="1"/>
    </xf>
    <xf numFmtId="38" fontId="4" fillId="0" borderId="5" xfId="1" applyFont="1" applyBorder="1" applyProtection="1">
      <alignment vertical="center"/>
      <protection hidden="1"/>
    </xf>
    <xf numFmtId="0" fontId="0" fillId="0" borderId="4" xfId="0" applyBorder="1" applyProtection="1">
      <alignment vertical="center"/>
      <protection hidden="1"/>
    </xf>
    <xf numFmtId="0" fontId="12" fillId="9" borderId="0" xfId="0" applyFont="1" applyFill="1">
      <alignment vertical="center"/>
    </xf>
    <xf numFmtId="0" fontId="12" fillId="0" borderId="0" xfId="0" applyFont="1" applyBorder="1">
      <alignment vertical="center"/>
    </xf>
    <xf numFmtId="38" fontId="12" fillId="0" borderId="0" xfId="0" applyNumberFormat="1" applyFont="1" applyFill="1">
      <alignment vertical="center"/>
    </xf>
    <xf numFmtId="38" fontId="12" fillId="4" borderId="0" xfId="0" applyNumberFormat="1" applyFont="1" applyFill="1">
      <alignment vertical="center"/>
    </xf>
    <xf numFmtId="0" fontId="12" fillId="0" borderId="0" xfId="0" applyFont="1" applyAlignment="1">
      <alignment horizontal="right" vertical="center"/>
    </xf>
    <xf numFmtId="38" fontId="12" fillId="11" borderId="0" xfId="0" applyNumberFormat="1" applyFont="1" applyFill="1">
      <alignment vertical="center"/>
    </xf>
    <xf numFmtId="38" fontId="4" fillId="11" borderId="0" xfId="1" applyFont="1" applyFill="1" applyProtection="1">
      <alignment vertical="center"/>
    </xf>
    <xf numFmtId="38" fontId="0" fillId="5" borderId="0" xfId="0" applyNumberFormat="1" applyFill="1">
      <alignment vertical="center"/>
    </xf>
    <xf numFmtId="38" fontId="9" fillId="0" borderId="0" xfId="1" applyFont="1" applyFill="1">
      <alignment vertical="center"/>
    </xf>
    <xf numFmtId="0" fontId="11" fillId="0" borderId="0" xfId="0" applyFont="1" applyFill="1" applyBorder="1">
      <alignment vertical="center"/>
    </xf>
    <xf numFmtId="38" fontId="4" fillId="0" borderId="0" xfId="1" applyFont="1" applyFill="1" applyBorder="1" applyProtection="1">
      <alignment vertical="center"/>
      <protection hidden="1"/>
    </xf>
    <xf numFmtId="0" fontId="5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2" fillId="0" borderId="9" xfId="0" applyFont="1" applyBorder="1">
      <alignment vertical="center"/>
    </xf>
    <xf numFmtId="38" fontId="4" fillId="0" borderId="10" xfId="1" applyFont="1" applyBorder="1" applyProtection="1">
      <alignment vertical="center"/>
      <protection hidden="1"/>
    </xf>
    <xf numFmtId="0" fontId="12" fillId="0" borderId="11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38" fontId="12" fillId="0" borderId="0" xfId="1" applyFont="1">
      <alignment vertical="center"/>
    </xf>
    <xf numFmtId="38" fontId="0" fillId="0" borderId="0" xfId="1" applyFont="1" applyFill="1" applyProtection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6" fillId="0" borderId="0" xfId="0" applyFont="1" applyBorder="1">
      <alignment vertical="center"/>
    </xf>
    <xf numFmtId="38" fontId="0" fillId="0" borderId="0" xfId="0" applyNumberFormat="1">
      <alignment vertical="center"/>
    </xf>
    <xf numFmtId="0" fontId="9" fillId="3" borderId="0" xfId="0" applyFont="1" applyFill="1">
      <alignment vertical="center"/>
    </xf>
    <xf numFmtId="0" fontId="0" fillId="0" borderId="0" xfId="0" applyNumberFormat="1">
      <alignment vertical="center"/>
    </xf>
    <xf numFmtId="0" fontId="0" fillId="6" borderId="0" xfId="0" applyFill="1" applyProtection="1">
      <alignment vertical="center"/>
      <protection locked="0"/>
    </xf>
    <xf numFmtId="0" fontId="0" fillId="6" borderId="0" xfId="0" applyFont="1" applyFill="1" applyProtection="1">
      <alignment vertical="center"/>
      <protection locked="0"/>
    </xf>
    <xf numFmtId="38" fontId="4" fillId="8" borderId="0" xfId="1" applyFont="1" applyFill="1" applyProtection="1">
      <alignment vertical="center"/>
      <protection locked="0"/>
    </xf>
    <xf numFmtId="38" fontId="4" fillId="5" borderId="0" xfId="1" applyFont="1" applyFill="1" applyProtection="1">
      <alignment vertical="center"/>
      <protection locked="0"/>
    </xf>
    <xf numFmtId="0" fontId="0" fillId="13" borderId="0" xfId="0" applyFill="1" applyProtection="1">
      <alignment vertical="center"/>
      <protection locked="0"/>
    </xf>
    <xf numFmtId="0" fontId="0" fillId="0" borderId="18" xfId="0" applyBorder="1">
      <alignment vertical="center"/>
    </xf>
    <xf numFmtId="38" fontId="12" fillId="10" borderId="0" xfId="0" applyNumberFormat="1" applyFont="1" applyFill="1">
      <alignment vertical="center"/>
    </xf>
    <xf numFmtId="0" fontId="1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176" fontId="0" fillId="0" borderId="0" xfId="0" applyNumberFormat="1" applyAlignment="1" applyProtection="1">
      <alignment vertical="center" shrinkToFit="1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right" vertical="center"/>
    </xf>
    <xf numFmtId="176" fontId="0" fillId="0" borderId="0" xfId="0" applyNumberFormat="1" applyBorder="1" applyAlignment="1" applyProtection="1">
      <alignment vertical="center" shrinkToFit="1"/>
    </xf>
    <xf numFmtId="0" fontId="9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2" fillId="0" borderId="0" xfId="0" applyFont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0" fillId="11" borderId="4" xfId="0" applyFill="1" applyBorder="1" applyAlignment="1" applyProtection="1">
      <alignment horizontal="center" vertical="center"/>
    </xf>
    <xf numFmtId="0" fontId="0" fillId="0" borderId="1" xfId="0" applyFill="1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6" xfId="0" applyFill="1" applyBorder="1" applyProtection="1">
      <alignment vertical="center"/>
    </xf>
    <xf numFmtId="0" fontId="0" fillId="11" borderId="7" xfId="0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shrinkToFit="1"/>
    </xf>
    <xf numFmtId="0" fontId="0" fillId="2" borderId="4" xfId="0" applyFill="1" applyBorder="1" applyAlignment="1" applyProtection="1">
      <alignment horizontal="center" vertical="center"/>
    </xf>
    <xf numFmtId="0" fontId="0" fillId="0" borderId="2" xfId="0" applyBorder="1" applyProtection="1">
      <alignment vertical="center"/>
    </xf>
    <xf numFmtId="0" fontId="5" fillId="0" borderId="0" xfId="0" applyFont="1" applyFill="1" applyBorder="1" applyProtection="1">
      <alignment vertical="center"/>
    </xf>
    <xf numFmtId="38" fontId="9" fillId="0" borderId="0" xfId="1" applyFont="1" applyProtection="1">
      <alignment vertical="center"/>
    </xf>
    <xf numFmtId="38" fontId="9" fillId="0" borderId="0" xfId="1" applyFont="1" applyAlignment="1" applyProtection="1">
      <alignment horizontal="right" vertical="center"/>
    </xf>
    <xf numFmtId="0" fontId="16" fillId="0" borderId="0" xfId="0" applyFont="1" applyProtection="1">
      <alignment vertical="center"/>
    </xf>
    <xf numFmtId="38" fontId="8" fillId="0" borderId="0" xfId="1" applyFont="1" applyFill="1" applyProtection="1">
      <alignment vertical="center"/>
    </xf>
    <xf numFmtId="0" fontId="0" fillId="0" borderId="0" xfId="0" applyFill="1" applyAlignment="1" applyProtection="1">
      <alignment horizontal="right" vertical="center"/>
    </xf>
    <xf numFmtId="0" fontId="17" fillId="0" borderId="0" xfId="0" applyFont="1" applyBorder="1" applyProtection="1">
      <alignment vertical="center"/>
    </xf>
    <xf numFmtId="0" fontId="0" fillId="14" borderId="0" xfId="0" applyFill="1" applyProtection="1">
      <alignment vertical="center"/>
      <protection locked="0"/>
    </xf>
    <xf numFmtId="0" fontId="22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Fill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 applyProtection="1">
      <alignment vertical="center"/>
    </xf>
    <xf numFmtId="38" fontId="4" fillId="0" borderId="1" xfId="1" applyFont="1" applyBorder="1" applyProtection="1">
      <alignment vertical="center"/>
      <protection hidden="1"/>
    </xf>
    <xf numFmtId="0" fontId="21" fillId="0" borderId="0" xfId="0" applyNumberFormat="1" applyFont="1" applyAlignment="1" applyProtection="1">
      <alignment vertical="center" shrinkToFit="1"/>
    </xf>
    <xf numFmtId="38" fontId="12" fillId="15" borderId="0" xfId="0" applyNumberFormat="1" applyFont="1" applyFill="1">
      <alignment vertical="center"/>
    </xf>
    <xf numFmtId="0" fontId="12" fillId="15" borderId="0" xfId="0" applyFont="1" applyFill="1">
      <alignment vertical="center"/>
    </xf>
    <xf numFmtId="38" fontId="4" fillId="16" borderId="0" xfId="1" applyFont="1" applyFill="1" applyProtection="1">
      <alignment vertical="center"/>
    </xf>
    <xf numFmtId="38" fontId="0" fillId="16" borderId="0" xfId="0" applyNumberFormat="1" applyFill="1">
      <alignment vertical="center"/>
    </xf>
    <xf numFmtId="0" fontId="20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3" fontId="12" fillId="0" borderId="11" xfId="0" applyNumberFormat="1" applyFont="1" applyBorder="1">
      <alignment vertical="center"/>
    </xf>
    <xf numFmtId="3" fontId="12" fillId="0" borderId="12" xfId="0" applyNumberFormat="1" applyFont="1" applyBorder="1">
      <alignment vertical="center"/>
    </xf>
    <xf numFmtId="38" fontId="4" fillId="0" borderId="19" xfId="1" applyFont="1" applyBorder="1" applyProtection="1">
      <alignment vertical="center"/>
      <protection hidden="1"/>
    </xf>
    <xf numFmtId="3" fontId="0" fillId="0" borderId="19" xfId="0" applyNumberFormat="1" applyBorder="1">
      <alignment vertical="center"/>
    </xf>
    <xf numFmtId="0" fontId="12" fillId="0" borderId="10" xfId="0" applyFont="1" applyBorder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0" xfId="0" applyFont="1" applyFill="1" applyProtection="1">
      <alignment vertical="center"/>
    </xf>
    <xf numFmtId="0" fontId="11" fillId="0" borderId="0" xfId="0" applyFont="1" applyAlignment="1" applyProtection="1">
      <alignment vertical="top" wrapText="1"/>
    </xf>
    <xf numFmtId="0" fontId="11" fillId="0" borderId="0" xfId="0" applyFont="1" applyFill="1" applyAlignment="1" applyProtection="1">
      <alignment vertical="top" wrapText="1"/>
    </xf>
    <xf numFmtId="0" fontId="0" fillId="12" borderId="8" xfId="0" applyFill="1" applyBorder="1" applyAlignment="1" applyProtection="1">
      <alignment horizontal="center" vertical="center"/>
    </xf>
    <xf numFmtId="0" fontId="0" fillId="12" borderId="0" xfId="0" applyFill="1" applyBorder="1" applyAlignment="1" applyProtection="1">
      <alignment horizontal="center" vertical="center"/>
    </xf>
    <xf numFmtId="38" fontId="0" fillId="0" borderId="0" xfId="1" applyFont="1" applyFill="1" applyAlignment="1" applyProtection="1">
      <alignment horizontal="right" vertical="center"/>
    </xf>
    <xf numFmtId="0" fontId="11" fillId="0" borderId="0" xfId="0" applyFont="1" applyFill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814917</xdr:colOff>
      <xdr:row>25</xdr:row>
      <xdr:rowOff>95250</xdr:rowOff>
    </xdr:from>
    <xdr:to>
      <xdr:col>10</xdr:col>
      <xdr:colOff>444502</xdr:colOff>
      <xdr:row>25</xdr:row>
      <xdr:rowOff>116416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248F3817-7483-4CFA-9A03-5DBD87005B3D}"/>
            </a:ext>
          </a:extLst>
        </xdr:cNvPr>
        <xdr:cNvCxnSpPr/>
      </xdr:nvCxnSpPr>
      <xdr:spPr>
        <a:xfrm flipH="1">
          <a:off x="7048500" y="3386667"/>
          <a:ext cx="582085" cy="21166"/>
        </a:xfrm>
        <a:prstGeom prst="straightConnector1">
          <a:avLst/>
        </a:prstGeom>
        <a:ln w="28575">
          <a:solidFill>
            <a:schemeClr val="accent6"/>
          </a:solidFill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666748</xdr:colOff>
      <xdr:row>21</xdr:row>
      <xdr:rowOff>95249</xdr:rowOff>
    </xdr:from>
    <xdr:to>
      <xdr:col>7</xdr:col>
      <xdr:colOff>105830</xdr:colOff>
      <xdr:row>21</xdr:row>
      <xdr:rowOff>95250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248F3817-7483-4CFA-9A03-5DBD87005B3D}"/>
            </a:ext>
          </a:extLst>
        </xdr:cNvPr>
        <xdr:cNvCxnSpPr/>
      </xdr:nvCxnSpPr>
      <xdr:spPr>
        <a:xfrm flipV="1">
          <a:off x="3820581" y="2963332"/>
          <a:ext cx="2391832" cy="1"/>
        </a:xfrm>
        <a:prstGeom prst="straightConnector1">
          <a:avLst/>
        </a:prstGeom>
        <a:ln w="28575">
          <a:solidFill>
            <a:schemeClr val="accent1"/>
          </a:solidFill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391584</xdr:colOff>
      <xdr:row>3</xdr:row>
      <xdr:rowOff>39162</xdr:rowOff>
    </xdr:from>
    <xdr:to>
      <xdr:col>3</xdr:col>
      <xdr:colOff>772583</xdr:colOff>
      <xdr:row>20</xdr:row>
      <xdr:rowOff>10583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CAE765-499A-4F82-A33B-DFF5E9C5D7B2}"/>
            </a:ext>
          </a:extLst>
        </xdr:cNvPr>
        <xdr:cNvSpPr txBox="1"/>
      </xdr:nvSpPr>
      <xdr:spPr>
        <a:xfrm>
          <a:off x="613834" y="959912"/>
          <a:ext cx="3312582" cy="183408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 b="1"/>
            <a:t>①</a:t>
          </a:r>
          <a:r>
            <a:rPr kumimoji="1" lang="ja-JP" altLang="en-US" sz="1100"/>
            <a:t>国民健康保険加入者の</a:t>
          </a:r>
          <a:r>
            <a:rPr kumimoji="1" lang="ja-JP" altLang="en-US" sz="1100" b="1">
              <a:solidFill>
                <a:srgbClr val="FF0000"/>
              </a:solidFill>
            </a:rPr>
            <a:t>年齢区分</a:t>
          </a:r>
          <a:r>
            <a:rPr kumimoji="1" lang="ja-JP" altLang="en-US" sz="1100" b="0">
              <a:solidFill>
                <a:sysClr val="windowText" lastClr="000000"/>
              </a:solidFill>
            </a:rPr>
            <a:t>を選択し、</a:t>
          </a:r>
          <a:r>
            <a:rPr kumimoji="1" lang="ja-JP" altLang="en-US" sz="1100" b="1">
              <a:solidFill>
                <a:schemeClr val="accent1"/>
              </a:solidFill>
            </a:rPr>
            <a:t>総所得額</a:t>
          </a:r>
          <a:r>
            <a:rPr kumimoji="1" lang="ja-JP" altLang="en-US" sz="1100"/>
            <a:t>を入力してください。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総所得額０円以下の場合は「０」と入力してください。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tx1"/>
              </a:solidFill>
            </a:rPr>
            <a:t>（注意）</a:t>
          </a:r>
          <a:endParaRPr kumimoji="1" lang="en-US" altLang="ja-JP" sz="1100" b="1">
            <a:solidFill>
              <a:schemeClr val="tx1"/>
            </a:solidFill>
          </a:endParaRPr>
        </a:p>
        <a:p>
          <a:r>
            <a:rPr kumimoji="1" lang="ja-JP" altLang="en-US" sz="1100" b="1" u="sng">
              <a:solidFill>
                <a:schemeClr val="tx1"/>
              </a:solidFill>
            </a:rPr>
            <a:t>生年月日が平成１９年４月２日以降の方は、現時点で１９歳を迎えていなくても、１９歳～３９歳を選択してください。</a:t>
          </a:r>
          <a:endParaRPr kumimoji="1" lang="en-US" altLang="ja-JP" sz="1100" b="1" u="sng">
            <a:solidFill>
              <a:schemeClr val="tx1"/>
            </a:solidFill>
          </a:endParaRPr>
        </a:p>
        <a:p>
          <a:endParaRPr kumimoji="1" lang="en-US" altLang="ja-JP" sz="1100"/>
        </a:p>
      </xdr:txBody>
    </xdr:sp>
    <xdr:clientData/>
  </xdr:twoCellAnchor>
  <xdr:twoCellAnchor editAs="absolute">
    <xdr:from>
      <xdr:col>1</xdr:col>
      <xdr:colOff>0</xdr:colOff>
      <xdr:row>37</xdr:row>
      <xdr:rowOff>169332</xdr:rowOff>
    </xdr:from>
    <xdr:to>
      <xdr:col>13</xdr:col>
      <xdr:colOff>1756833</xdr:colOff>
      <xdr:row>55</xdr:row>
      <xdr:rowOff>137583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B0178B5-70B1-458D-AF2B-3F9D2083D192}"/>
            </a:ext>
          </a:extLst>
        </xdr:cNvPr>
        <xdr:cNvSpPr txBox="1"/>
      </xdr:nvSpPr>
      <xdr:spPr>
        <a:xfrm>
          <a:off x="222250" y="5640915"/>
          <a:ext cx="11811000" cy="3005668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≪注意事項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≫</a:t>
          </a:r>
          <a:endParaRPr kumimoji="1" lang="en-US" altLang="ja-JP" sz="1100"/>
        </a:p>
        <a:p>
          <a:r>
            <a:rPr kumimoji="1" lang="ja-JP" altLang="en-US" sz="1100" u="sng"/>
            <a:t>上記結果はあくまでも試算であり、実際の保険税額と異なる場合があります。</a:t>
          </a:r>
          <a:endParaRPr kumimoji="1" lang="en-US" altLang="ja-JP" sz="1100" u="sng"/>
        </a:p>
        <a:p>
          <a:endParaRPr kumimoji="1" lang="en-US" altLang="ja-JP" sz="1100" u="none"/>
        </a:p>
        <a:p>
          <a:r>
            <a:rPr kumimoji="1" lang="ja-JP" altLang="en-US" sz="1100" u="none"/>
            <a:t>次のいずれかに該当する場合は、正しい保険税が計算されませんので、税務課市民税２係までお問合せください。</a:t>
          </a:r>
          <a:endParaRPr kumimoji="1" lang="en-US" altLang="ja-JP" sz="1100" u="none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・年度途中に加入者の所得や人数が変わる場合</a:t>
          </a:r>
          <a:endParaRPr lang="ja-JP" altLang="ja-JP" sz="11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・年度途中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に加入者が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４０歳、６５歳、７５歳になる場合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・７５歳到達前に国保に加入していた方がいる世帯</a:t>
          </a:r>
          <a:endParaRPr lang="ja-JP" altLang="ja-JP" sz="11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・介護保険適用除外施設に入所している場合</a:t>
          </a:r>
          <a:endParaRPr lang="ja-JP" altLang="ja-JP" sz="1100">
            <a:effectLst/>
          </a:endParaRPr>
        </a:p>
        <a:p>
          <a:r>
            <a:rPr kumimoji="1" lang="ja-JP" altLang="en-US" sz="1100"/>
            <a:t>・分離課税所得がある場合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専従者控除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がある場合</a:t>
          </a:r>
          <a:endParaRPr kumimoji="1" lang="en-US" altLang="ja-JP" sz="1100"/>
        </a:p>
        <a:p>
          <a:r>
            <a:rPr kumimoji="1" lang="ja-JP" altLang="en-US" sz="1100"/>
            <a:t>・年金所得がある場合</a:t>
          </a:r>
          <a:endParaRPr kumimoji="1" lang="en-US" altLang="ja-JP" sz="1100"/>
        </a:p>
        <a:p>
          <a:r>
            <a:rPr kumimoji="1" lang="ja-JP" altLang="en-US" sz="1100"/>
            <a:t>・所得を申告していない場合</a:t>
          </a:r>
          <a:endParaRPr kumimoji="1" lang="en-US" altLang="ja-JP" sz="1100"/>
        </a:p>
        <a:p>
          <a:r>
            <a:rPr kumimoji="1" lang="ja-JP" altLang="en-US" sz="1100"/>
            <a:t>・６５歳未満で非自発失業者（雇用保険の特定受給資格者・特定理由離職者）に該当する場合</a:t>
          </a:r>
          <a:endParaRPr kumimoji="1" lang="en-US" altLang="ja-JP" sz="1100"/>
        </a:p>
        <a:p>
          <a:r>
            <a:rPr kumimoji="1" lang="ja-JP" altLang="en-US" sz="1100"/>
            <a:t>・合計所得金額が２</a:t>
          </a:r>
          <a:r>
            <a:rPr kumimoji="1" lang="en-US" altLang="ja-JP" sz="1100"/>
            <a:t>,</a:t>
          </a:r>
          <a:r>
            <a:rPr kumimoji="1" lang="ja-JP" altLang="en-US" sz="1100"/>
            <a:t>４００万円を超える場合</a:t>
          </a:r>
          <a:endParaRPr kumimoji="1" lang="en-US" altLang="ja-JP" sz="1100"/>
        </a:p>
      </xdr:txBody>
    </xdr:sp>
    <xdr:clientData/>
  </xdr:twoCellAnchor>
  <xdr:twoCellAnchor editAs="absolute">
    <xdr:from>
      <xdr:col>1</xdr:col>
      <xdr:colOff>402167</xdr:colOff>
      <xdr:row>20</xdr:row>
      <xdr:rowOff>63500</xdr:rowOff>
    </xdr:from>
    <xdr:to>
      <xdr:col>3</xdr:col>
      <xdr:colOff>772584</xdr:colOff>
      <xdr:row>25</xdr:row>
      <xdr:rowOff>169332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81875C2-015A-4320-A724-F4DA22C1E8B2}"/>
            </a:ext>
          </a:extLst>
        </xdr:cNvPr>
        <xdr:cNvSpPr txBox="1"/>
      </xdr:nvSpPr>
      <xdr:spPr>
        <a:xfrm>
          <a:off x="624417" y="2846917"/>
          <a:ext cx="3302000" cy="613832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 b="1" u="none" baseline="0">
              <a:solidFill>
                <a:sysClr val="windowText" lastClr="000000"/>
              </a:solidFill>
              <a:uFill>
                <a:solidFill>
                  <a:schemeClr val="accent6">
                    <a:lumMod val="75000"/>
                  </a:schemeClr>
                </a:solidFill>
              </a:uFill>
            </a:rPr>
            <a:t>②</a:t>
          </a:r>
          <a:r>
            <a:rPr kumimoji="1" lang="en-US" altLang="ja-JP" sz="1100" b="1" u="none" baseline="0">
              <a:solidFill>
                <a:srgbClr val="FF0000"/>
              </a:solidFill>
              <a:uFill>
                <a:solidFill>
                  <a:schemeClr val="accent6">
                    <a:lumMod val="75000"/>
                  </a:schemeClr>
                </a:solidFill>
              </a:uFill>
            </a:rPr>
            <a:t>【</a:t>
          </a:r>
          <a:r>
            <a:rPr kumimoji="1" lang="ja-JP" altLang="en-US" sz="1100" b="1" u="none" baseline="0">
              <a:solidFill>
                <a:srgbClr val="FF0000"/>
              </a:solidFill>
              <a:uFill>
                <a:solidFill>
                  <a:schemeClr val="accent6">
                    <a:lumMod val="75000"/>
                  </a:schemeClr>
                </a:solidFill>
              </a:uFill>
            </a:rPr>
            <a:t>世帯主が加入者でない場合のみ入力</a:t>
          </a:r>
          <a:r>
            <a:rPr kumimoji="1" lang="en-US" altLang="ja-JP" sz="1100" b="1" u="none" baseline="0">
              <a:solidFill>
                <a:srgbClr val="FF0000"/>
              </a:solidFill>
              <a:uFill>
                <a:solidFill>
                  <a:schemeClr val="accent6">
                    <a:lumMod val="75000"/>
                  </a:schemeClr>
                </a:solidFill>
              </a:uFill>
            </a:rPr>
            <a:t>】</a:t>
          </a:r>
        </a:p>
        <a:p>
          <a:r>
            <a:rPr kumimoji="1" lang="ja-JP" altLang="en-US" sz="1100"/>
            <a:t>世帯主の</a:t>
          </a:r>
          <a:r>
            <a:rPr kumimoji="1" lang="ja-JP" altLang="en-US" sz="1100" b="1">
              <a:solidFill>
                <a:schemeClr val="tx2">
                  <a:lumMod val="60000"/>
                  <a:lumOff val="40000"/>
                </a:schemeClr>
              </a:solidFill>
            </a:rPr>
            <a:t>総所得額</a:t>
          </a:r>
          <a:r>
            <a:rPr kumimoji="1" lang="ja-JP" altLang="en-US" sz="1100"/>
            <a:t>を入力してください。</a:t>
          </a:r>
        </a:p>
      </xdr:txBody>
    </xdr:sp>
    <xdr:clientData/>
  </xdr:twoCellAnchor>
  <xdr:twoCellAnchor editAs="absolute">
    <xdr:from>
      <xdr:col>10</xdr:col>
      <xdr:colOff>26460</xdr:colOff>
      <xdr:row>1</xdr:row>
      <xdr:rowOff>0</xdr:rowOff>
    </xdr:from>
    <xdr:to>
      <xdr:col>15</xdr:col>
      <xdr:colOff>592667</xdr:colOff>
      <xdr:row>19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DED9AB-92B2-442C-A23B-1D738BEF6387}"/>
            </a:ext>
          </a:extLst>
        </xdr:cNvPr>
        <xdr:cNvSpPr txBox="1"/>
      </xdr:nvSpPr>
      <xdr:spPr>
        <a:xfrm>
          <a:off x="7212543" y="529167"/>
          <a:ext cx="6715124" cy="2116666"/>
        </a:xfrm>
        <a:prstGeom prst="rect">
          <a:avLst/>
        </a:prstGeom>
        <a:ln w="3810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「総所得額」について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所得割の計算には、前年の給与・年金・事業所得と、分離課税される土地の譲渡所得などの合計を用います。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なお、退職所得は、「総所得額」に含みません。</a:t>
          </a:r>
          <a:r>
            <a:rPr lang="ja-JP" altLang="en-US"/>
            <a:t> </a:t>
          </a:r>
          <a:endParaRPr lang="en-US" altLang="ja-JP"/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・給与所得＝給与収入金額－給与所得控除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・年金所得＝公的年金収入金額－公的年金等控除（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遺族年金、障害者年金等の非課税年金は年金所得に含みません。）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・事業所得＝事業収入金額－必要経費 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・土地等譲渡所得＝譲渡所得金額－特別控除</a:t>
          </a:r>
          <a:r>
            <a:rPr lang="ja-JP" altLang="en-US"/>
            <a:t> 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10</xdr:col>
      <xdr:colOff>423333</xdr:colOff>
      <xdr:row>19</xdr:row>
      <xdr:rowOff>116419</xdr:rowOff>
    </xdr:from>
    <xdr:to>
      <xdr:col>15</xdr:col>
      <xdr:colOff>603250</xdr:colOff>
      <xdr:row>23</xdr:row>
      <xdr:rowOff>10589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81875C2-015A-4320-A724-F4DA22C1E8B2}"/>
            </a:ext>
          </a:extLst>
        </xdr:cNvPr>
        <xdr:cNvSpPr txBox="1"/>
      </xdr:nvSpPr>
      <xdr:spPr>
        <a:xfrm>
          <a:off x="7609416" y="2730502"/>
          <a:ext cx="6328834" cy="359837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 b="1" u="none" baseline="0">
              <a:uFill>
                <a:solidFill>
                  <a:schemeClr val="accent6">
                    <a:lumMod val="75000"/>
                  </a:schemeClr>
                </a:solidFill>
              </a:uFill>
            </a:rPr>
            <a:t>③</a:t>
          </a:r>
          <a:r>
            <a:rPr kumimoji="1" lang="ja-JP" altLang="en-US" sz="1100" u="none" baseline="0">
              <a:uFill>
                <a:solidFill>
                  <a:schemeClr val="accent6">
                    <a:lumMod val="75000"/>
                  </a:schemeClr>
                </a:solidFill>
              </a:uFill>
            </a:rPr>
            <a:t>加入者と世帯主のうち、給与所得者もしくは年金所得者の</a:t>
          </a:r>
          <a:r>
            <a:rPr kumimoji="1" lang="ja-JP" altLang="en-US" sz="1100" b="1" u="none" baseline="0">
              <a:solidFill>
                <a:schemeClr val="tx2">
                  <a:lumMod val="60000"/>
                  <a:lumOff val="40000"/>
                </a:schemeClr>
              </a:solidFill>
              <a:uFill>
                <a:solidFill>
                  <a:schemeClr val="accent6">
                    <a:lumMod val="75000"/>
                  </a:schemeClr>
                </a:solidFill>
              </a:uFill>
            </a:rPr>
            <a:t>合計人数</a:t>
          </a:r>
          <a:r>
            <a:rPr kumimoji="1" lang="ja-JP" altLang="en-US" sz="1100" u="none" baseline="0">
              <a:uFill>
                <a:solidFill>
                  <a:schemeClr val="accent6">
                    <a:lumMod val="75000"/>
                  </a:schemeClr>
                </a:solidFill>
              </a:uFill>
            </a:rPr>
            <a:t>を入力してください。</a:t>
          </a:r>
          <a:endParaRPr kumimoji="1" lang="ja-JP" altLang="en-US" sz="1100" u="none"/>
        </a:p>
      </xdr:txBody>
    </xdr:sp>
    <xdr:clientData/>
  </xdr:twoCellAnchor>
  <xdr:twoCellAnchor>
    <xdr:from>
      <xdr:col>9</xdr:col>
      <xdr:colOff>10585</xdr:colOff>
      <xdr:row>21</xdr:row>
      <xdr:rowOff>42338</xdr:rowOff>
    </xdr:from>
    <xdr:to>
      <xdr:col>10</xdr:col>
      <xdr:colOff>423333</xdr:colOff>
      <xdr:row>23</xdr:row>
      <xdr:rowOff>95250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248F3817-7483-4CFA-9A03-5DBD87005B3D}"/>
            </a:ext>
          </a:extLst>
        </xdr:cNvPr>
        <xdr:cNvCxnSpPr>
          <a:stCxn id="10" idx="1"/>
        </xdr:cNvCxnSpPr>
      </xdr:nvCxnSpPr>
      <xdr:spPr>
        <a:xfrm flipH="1">
          <a:off x="7069668" y="2910421"/>
          <a:ext cx="539748" cy="264579"/>
        </a:xfrm>
        <a:prstGeom prst="straightConnector1">
          <a:avLst/>
        </a:prstGeom>
        <a:ln w="28575">
          <a:solidFill>
            <a:schemeClr val="accent3"/>
          </a:solidFill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433915</xdr:colOff>
      <xdr:row>23</xdr:row>
      <xdr:rowOff>74086</xdr:rowOff>
    </xdr:from>
    <xdr:to>
      <xdr:col>15</xdr:col>
      <xdr:colOff>603250</xdr:colOff>
      <xdr:row>25</xdr:row>
      <xdr:rowOff>190499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81875C2-015A-4320-A724-F4DA22C1E8B2}"/>
            </a:ext>
          </a:extLst>
        </xdr:cNvPr>
        <xdr:cNvSpPr txBox="1"/>
      </xdr:nvSpPr>
      <xdr:spPr>
        <a:xfrm>
          <a:off x="7619998" y="3153836"/>
          <a:ext cx="6318252" cy="328080"/>
        </a:xfrm>
        <a:prstGeom prst="rect">
          <a:avLst/>
        </a:prstGeom>
        <a:ln>
          <a:solidFill>
            <a:schemeClr val="accent6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 b="1" u="none" baseline="0">
              <a:solidFill>
                <a:sysClr val="windowText" lastClr="000000"/>
              </a:solidFill>
              <a:uFill>
                <a:solidFill>
                  <a:schemeClr val="accent6">
                    <a:lumMod val="75000"/>
                  </a:schemeClr>
                </a:solidFill>
              </a:uFill>
            </a:rPr>
            <a:t>④</a:t>
          </a:r>
          <a:r>
            <a:rPr kumimoji="1" lang="en-US" altLang="ja-JP" sz="1100" b="1" u="none" baseline="0">
              <a:solidFill>
                <a:srgbClr val="FF0000"/>
              </a:solidFill>
              <a:uFill>
                <a:solidFill>
                  <a:schemeClr val="accent6">
                    <a:lumMod val="75000"/>
                  </a:schemeClr>
                </a:solidFill>
              </a:uFill>
            </a:rPr>
            <a:t>【</a:t>
          </a:r>
          <a:r>
            <a:rPr kumimoji="1" lang="ja-JP" altLang="en-US" sz="1100" b="1" u="none" baseline="0">
              <a:solidFill>
                <a:srgbClr val="FF0000"/>
              </a:solidFill>
              <a:uFill>
                <a:solidFill>
                  <a:schemeClr val="accent6">
                    <a:lumMod val="75000"/>
                  </a:schemeClr>
                </a:solidFill>
              </a:uFill>
            </a:rPr>
            <a:t>加入者の中に未就学児がいる場合のみ入力</a:t>
          </a:r>
          <a:r>
            <a:rPr kumimoji="1" lang="en-US" altLang="ja-JP" sz="1100" b="1" u="none" baseline="0">
              <a:solidFill>
                <a:srgbClr val="FF0000"/>
              </a:solidFill>
              <a:uFill>
                <a:solidFill>
                  <a:schemeClr val="accent6">
                    <a:lumMod val="75000"/>
                  </a:schemeClr>
                </a:solidFill>
              </a:uFill>
            </a:rPr>
            <a:t>】</a:t>
          </a:r>
          <a:r>
            <a:rPr kumimoji="1" lang="ja-JP" altLang="en-US" sz="1100" u="none" baseline="0">
              <a:uFill>
                <a:solidFill>
                  <a:schemeClr val="accent6">
                    <a:lumMod val="75000"/>
                  </a:schemeClr>
                </a:solidFill>
              </a:uFill>
            </a:rPr>
            <a:t>未就学児の</a:t>
          </a:r>
          <a:r>
            <a:rPr kumimoji="1" lang="ja-JP" altLang="en-US" sz="1100" b="1" u="none" baseline="0">
              <a:solidFill>
                <a:schemeClr val="tx2">
                  <a:lumMod val="60000"/>
                  <a:lumOff val="40000"/>
                </a:schemeClr>
              </a:solidFill>
              <a:uFill>
                <a:solidFill>
                  <a:schemeClr val="accent6">
                    <a:lumMod val="75000"/>
                  </a:schemeClr>
                </a:solidFill>
              </a:uFill>
            </a:rPr>
            <a:t>合計人数</a:t>
          </a:r>
          <a:r>
            <a:rPr kumimoji="1" lang="ja-JP" altLang="en-US" sz="1100" u="none" baseline="0">
              <a:uFill>
                <a:solidFill>
                  <a:schemeClr val="accent6">
                    <a:lumMod val="75000"/>
                  </a:schemeClr>
                </a:solidFill>
              </a:uFill>
            </a:rPr>
            <a:t>を入力してください。</a:t>
          </a:r>
          <a:endParaRPr kumimoji="1" lang="ja-JP" altLang="en-US" sz="1100" u="non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923926</xdr:colOff>
      <xdr:row>25</xdr:row>
      <xdr:rowOff>38100</xdr:rowOff>
    </xdr:from>
    <xdr:to>
      <xdr:col>16</xdr:col>
      <xdr:colOff>466725</xdr:colOff>
      <xdr:row>46</xdr:row>
      <xdr:rowOff>142876</xdr:rowOff>
    </xdr:to>
    <xdr:sp macro="" textlink="">
      <xdr:nvSpPr>
        <xdr:cNvPr id="21" name="雲形吹き出し 20">
          <a:extLst>
            <a:ext uri="{FF2B5EF4-FFF2-40B4-BE49-F238E27FC236}">
              <a16:creationId xmlns:a16="http://schemas.microsoft.com/office/drawing/2014/main" id="{AECAABAD-8579-454F-B8E5-CCAE9CFF65B0}"/>
            </a:ext>
          </a:extLst>
        </xdr:cNvPr>
        <xdr:cNvSpPr/>
      </xdr:nvSpPr>
      <xdr:spPr>
        <a:xfrm>
          <a:off x="9182101" y="3095625"/>
          <a:ext cx="4419599" cy="2619376"/>
        </a:xfrm>
        <a:prstGeom prst="cloudCallout">
          <a:avLst>
            <a:gd name="adj1" fmla="val -29238"/>
            <a:gd name="adj2" fmla="val 63591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8</xdr:col>
      <xdr:colOff>123825</xdr:colOff>
      <xdr:row>81</xdr:row>
      <xdr:rowOff>57150</xdr:rowOff>
    </xdr:from>
    <xdr:ext cx="1419225" cy="6572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00FEDC-4531-41EA-8D82-509E6471C197}"/>
            </a:ext>
          </a:extLst>
        </xdr:cNvPr>
        <xdr:cNvSpPr txBox="1"/>
      </xdr:nvSpPr>
      <xdr:spPr>
        <a:xfrm>
          <a:off x="5810250" y="10744200"/>
          <a:ext cx="1419225" cy="657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軽減判定基準が改正されたらこの式を直す</a:t>
          </a:r>
        </a:p>
      </xdr:txBody>
    </xdr:sp>
    <xdr:clientData/>
  </xdr:oneCellAnchor>
  <xdr:twoCellAnchor>
    <xdr:from>
      <xdr:col>8</xdr:col>
      <xdr:colOff>395289</xdr:colOff>
      <xdr:row>80</xdr:row>
      <xdr:rowOff>85725</xdr:rowOff>
    </xdr:from>
    <xdr:to>
      <xdr:col>8</xdr:col>
      <xdr:colOff>742950</xdr:colOff>
      <xdr:row>81</xdr:row>
      <xdr:rowOff>47627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A1C6109E-0BE7-4481-8A54-4C4B21DA5273}"/>
            </a:ext>
          </a:extLst>
        </xdr:cNvPr>
        <xdr:cNvCxnSpPr/>
      </xdr:nvCxnSpPr>
      <xdr:spPr>
        <a:xfrm flipV="1">
          <a:off x="6081714" y="10534650"/>
          <a:ext cx="347661" cy="200027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238125</xdr:colOff>
      <xdr:row>65</xdr:row>
      <xdr:rowOff>142875</xdr:rowOff>
    </xdr:from>
    <xdr:ext cx="1533525" cy="8096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63C330E-1B6F-412E-AFDB-00716A0C0761}"/>
            </a:ext>
          </a:extLst>
        </xdr:cNvPr>
        <xdr:cNvSpPr txBox="1"/>
      </xdr:nvSpPr>
      <xdr:spPr>
        <a:xfrm>
          <a:off x="13535025" y="8001000"/>
          <a:ext cx="1533525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税率が変わった場合はここの計算式・数字を直す</a:t>
          </a:r>
        </a:p>
      </xdr:txBody>
    </xdr:sp>
    <xdr:clientData/>
  </xdr:oneCellAnchor>
  <xdr:oneCellAnchor>
    <xdr:from>
      <xdr:col>3</xdr:col>
      <xdr:colOff>133350</xdr:colOff>
      <xdr:row>72</xdr:row>
      <xdr:rowOff>57150</xdr:rowOff>
    </xdr:from>
    <xdr:ext cx="1533525" cy="94297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7FBB210-8FF3-4719-98DE-18D0B1232820}"/>
            </a:ext>
          </a:extLst>
        </xdr:cNvPr>
        <xdr:cNvSpPr txBox="1"/>
      </xdr:nvSpPr>
      <xdr:spPr>
        <a:xfrm>
          <a:off x="2190750" y="6143625"/>
          <a:ext cx="1533525" cy="9429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税率が変わった場合はこの計算式の平等割の合計額の数字を直す。</a:t>
          </a:r>
        </a:p>
      </xdr:txBody>
    </xdr:sp>
    <xdr:clientData/>
  </xdr:oneCellAnchor>
  <xdr:twoCellAnchor>
    <xdr:from>
      <xdr:col>5</xdr:col>
      <xdr:colOff>304800</xdr:colOff>
      <xdr:row>76</xdr:row>
      <xdr:rowOff>133350</xdr:rowOff>
    </xdr:from>
    <xdr:to>
      <xdr:col>7</xdr:col>
      <xdr:colOff>66675</xdr:colOff>
      <xdr:row>78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C7E9E40-1E8C-4333-A6F7-43215D849D09}"/>
            </a:ext>
          </a:extLst>
        </xdr:cNvPr>
        <xdr:cNvCxnSpPr/>
      </xdr:nvCxnSpPr>
      <xdr:spPr>
        <a:xfrm>
          <a:off x="3733800" y="9763125"/>
          <a:ext cx="1133475" cy="23812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161925</xdr:colOff>
      <xdr:row>81</xdr:row>
      <xdr:rowOff>19050</xdr:rowOff>
    </xdr:from>
    <xdr:ext cx="1533525" cy="94297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2CFD81C-786B-43B5-9030-0C1071FAE909}"/>
            </a:ext>
          </a:extLst>
        </xdr:cNvPr>
        <xdr:cNvSpPr txBox="1"/>
      </xdr:nvSpPr>
      <xdr:spPr>
        <a:xfrm>
          <a:off x="2219325" y="10706100"/>
          <a:ext cx="1533525" cy="9429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税率が変わった場合はこの計算式の平等割の合計額の</a:t>
          </a:r>
          <a:r>
            <a:rPr kumimoji="1" lang="en-US" altLang="ja-JP" sz="1100"/>
            <a:t>1/12</a:t>
          </a:r>
          <a:r>
            <a:rPr kumimoji="1" lang="ja-JP" altLang="en-US" sz="1100"/>
            <a:t>の数字を直す。</a:t>
          </a:r>
        </a:p>
      </xdr:txBody>
    </xdr:sp>
    <xdr:clientData/>
  </xdr:oneCellAnchor>
  <xdr:twoCellAnchor>
    <xdr:from>
      <xdr:col>5</xdr:col>
      <xdr:colOff>323850</xdr:colOff>
      <xdr:row>81</xdr:row>
      <xdr:rowOff>28575</xdr:rowOff>
    </xdr:from>
    <xdr:to>
      <xdr:col>7</xdr:col>
      <xdr:colOff>171450</xdr:colOff>
      <xdr:row>83</xdr:row>
      <xdr:rowOff>147638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221F9DA-9F41-426C-B92A-DCB4E0C7F633}"/>
            </a:ext>
          </a:extLst>
        </xdr:cNvPr>
        <xdr:cNvCxnSpPr>
          <a:stCxn id="13" idx="3"/>
        </xdr:cNvCxnSpPr>
      </xdr:nvCxnSpPr>
      <xdr:spPr>
        <a:xfrm flipV="1">
          <a:off x="3752850" y="10715625"/>
          <a:ext cx="1219200" cy="46196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885825</xdr:colOff>
      <xdr:row>71</xdr:row>
      <xdr:rowOff>9525</xdr:rowOff>
    </xdr:from>
    <xdr:to>
      <xdr:col>16</xdr:col>
      <xdr:colOff>228600</xdr:colOff>
      <xdr:row>76</xdr:row>
      <xdr:rowOff>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A444CF60-C4ED-4BF4-B5E2-7A6C19879398}"/>
            </a:ext>
          </a:extLst>
        </xdr:cNvPr>
        <xdr:cNvCxnSpPr/>
      </xdr:nvCxnSpPr>
      <xdr:spPr>
        <a:xfrm flipH="1">
          <a:off x="12211050" y="8782050"/>
          <a:ext cx="1152525" cy="84772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400050</xdr:colOff>
      <xdr:row>29</xdr:row>
      <xdr:rowOff>152401</xdr:rowOff>
    </xdr:from>
    <xdr:ext cx="2428875" cy="16002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EAE14B7-BD23-4AE7-8639-A9867C92E6D8}"/>
            </a:ext>
          </a:extLst>
        </xdr:cNvPr>
        <xdr:cNvSpPr txBox="1"/>
      </xdr:nvSpPr>
      <xdr:spPr>
        <a:xfrm>
          <a:off x="10163175" y="3724276"/>
          <a:ext cx="2428875" cy="160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 b="1"/>
            <a:t>「国保税の計算シート」の修正箇所</a:t>
          </a:r>
          <a:endParaRPr kumimoji="1" lang="en-US" altLang="ja-JP" sz="1100" b="1"/>
        </a:p>
        <a:p>
          <a:r>
            <a:rPr kumimoji="1" lang="ja-JP" altLang="en-US" sz="1100"/>
            <a:t>○税率改正のとき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D29</a:t>
          </a:r>
          <a:r>
            <a:rPr kumimoji="1" lang="ja-JP" altLang="en-US" sz="1100"/>
            <a:t>・</a:t>
          </a:r>
          <a:r>
            <a:rPr kumimoji="1" lang="en-US" altLang="ja-JP" sz="1100"/>
            <a:t>D30</a:t>
          </a:r>
          <a:r>
            <a:rPr kumimoji="1" lang="ja-JP" altLang="en-US" sz="1100"/>
            <a:t>・</a:t>
          </a:r>
          <a:r>
            <a:rPr kumimoji="1" lang="en-US" altLang="ja-JP" sz="1100"/>
            <a:t>D31</a:t>
          </a:r>
          <a:r>
            <a:rPr kumimoji="1" lang="ja-JP" altLang="en-US" sz="1100"/>
            <a:t>・</a:t>
          </a:r>
          <a:r>
            <a:rPr kumimoji="1" lang="en-US" altLang="ja-JP" sz="1100"/>
            <a:t>I29</a:t>
          </a:r>
          <a:r>
            <a:rPr kumimoji="1" lang="ja-JP" altLang="en-US" sz="1100"/>
            <a:t>・</a:t>
          </a:r>
          <a:r>
            <a:rPr kumimoji="1" lang="en-US" altLang="ja-JP" sz="1100"/>
            <a:t>I30</a:t>
          </a:r>
          <a:r>
            <a:rPr kumimoji="1" lang="ja-JP" altLang="en-US" sz="1100"/>
            <a:t>・</a:t>
          </a:r>
          <a:r>
            <a:rPr kumimoji="1" lang="en-US" altLang="ja-JP" sz="1100"/>
            <a:t>I31</a:t>
          </a:r>
          <a:r>
            <a:rPr kumimoji="1" lang="ja-JP" altLang="en-US" sz="1100"/>
            <a:t>・</a:t>
          </a:r>
          <a:r>
            <a:rPr kumimoji="1" lang="en-US" altLang="ja-JP" sz="1100"/>
            <a:t>L29</a:t>
          </a:r>
          <a:r>
            <a:rPr kumimoji="1" lang="ja-JP" altLang="en-US" sz="1100"/>
            <a:t>・</a:t>
          </a:r>
          <a:r>
            <a:rPr kumimoji="1" lang="en-US" altLang="ja-JP" sz="1100"/>
            <a:t>L30</a:t>
          </a:r>
          <a:r>
            <a:rPr kumimoji="1" lang="ja-JP" altLang="en-US" sz="1100"/>
            <a:t>・</a:t>
          </a:r>
          <a:r>
            <a:rPr kumimoji="1" lang="en-US" altLang="ja-JP" sz="1100"/>
            <a:t>L31</a:t>
          </a:r>
          <a:r>
            <a:rPr kumimoji="1" lang="ja-JP" altLang="en-US" sz="1100"/>
            <a:t>・</a:t>
          </a:r>
          <a:r>
            <a:rPr kumimoji="1" lang="en-US" altLang="ja-JP" sz="1100"/>
            <a:t>O29</a:t>
          </a:r>
          <a:r>
            <a:rPr kumimoji="1" lang="ja-JP" altLang="en-US" sz="1100"/>
            <a:t>・</a:t>
          </a:r>
          <a:r>
            <a:rPr kumimoji="1" lang="en-US" altLang="ja-JP" sz="1100"/>
            <a:t>O30</a:t>
          </a:r>
          <a:r>
            <a:rPr kumimoji="1" lang="ja-JP" altLang="en-US" sz="1100"/>
            <a:t>・</a:t>
          </a:r>
          <a:r>
            <a:rPr kumimoji="1" lang="en-US" altLang="ja-JP" sz="1100"/>
            <a:t>O31</a:t>
          </a:r>
          <a:r>
            <a:rPr kumimoji="1" lang="ja-JP" altLang="en-US" sz="1100"/>
            <a:t>の数字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D29</a:t>
          </a:r>
          <a:r>
            <a:rPr kumimoji="1" lang="ja-JP" altLang="en-US" sz="1100"/>
            <a:t>・</a:t>
          </a:r>
          <a:r>
            <a:rPr kumimoji="1" lang="en-US" altLang="ja-JP" sz="1100"/>
            <a:t>I29</a:t>
          </a:r>
          <a:r>
            <a:rPr kumimoji="1" lang="ja-JP" altLang="en-US" sz="1100"/>
            <a:t>・</a:t>
          </a:r>
          <a:r>
            <a:rPr kumimoji="1" lang="en-US" altLang="ja-JP" sz="1100"/>
            <a:t>L29</a:t>
          </a:r>
          <a:r>
            <a:rPr kumimoji="1" lang="ja-JP" altLang="en-US" sz="1100"/>
            <a:t>・</a:t>
          </a:r>
          <a:r>
            <a:rPr kumimoji="1" lang="en-US" altLang="ja-JP" sz="1100"/>
            <a:t>O29</a:t>
          </a:r>
          <a:r>
            <a:rPr kumimoji="1" lang="ja-JP" altLang="en-US" sz="1100"/>
            <a:t>の計算式</a:t>
          </a:r>
          <a:endParaRPr kumimoji="1" lang="en-US" altLang="ja-JP" sz="1100"/>
        </a:p>
        <a:p>
          <a:r>
            <a:rPr kumimoji="1" lang="ja-JP" altLang="en-US" sz="1100"/>
            <a:t>○限度額改正のとき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D33</a:t>
          </a:r>
          <a:r>
            <a:rPr kumimoji="1" lang="ja-JP" altLang="en-US" sz="1100"/>
            <a:t>・</a:t>
          </a:r>
          <a:r>
            <a:rPr kumimoji="1" lang="en-US" altLang="ja-JP" sz="1100"/>
            <a:t>I33</a:t>
          </a:r>
          <a:r>
            <a:rPr kumimoji="1" lang="ja-JP" altLang="en-US" sz="1100"/>
            <a:t>・</a:t>
          </a:r>
          <a:r>
            <a:rPr kumimoji="1" lang="en-US" altLang="ja-JP" sz="1100"/>
            <a:t>L33</a:t>
          </a:r>
          <a:r>
            <a:rPr kumimoji="1" lang="ja-JP" altLang="en-US" sz="1100"/>
            <a:t>・</a:t>
          </a:r>
          <a:r>
            <a:rPr kumimoji="1" lang="en-US" altLang="ja-JP" sz="1100"/>
            <a:t>O33</a:t>
          </a:r>
          <a:r>
            <a:rPr kumimoji="1" lang="ja-JP" altLang="en-US" sz="1100"/>
            <a:t>の数字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D32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I32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L32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O32</a:t>
          </a:r>
          <a:r>
            <a:rPr kumimoji="1" lang="ja-JP" altLang="en-US" sz="1100"/>
            <a:t>の計算式</a:t>
          </a:r>
        </a:p>
      </xdr:txBody>
    </xdr:sp>
    <xdr:clientData/>
  </xdr:oneCellAnchor>
  <xdr:twoCellAnchor>
    <xdr:from>
      <xdr:col>12</xdr:col>
      <xdr:colOff>142875</xdr:colOff>
      <xdr:row>97</xdr:row>
      <xdr:rowOff>152400</xdr:rowOff>
    </xdr:from>
    <xdr:to>
      <xdr:col>14</xdr:col>
      <xdr:colOff>609600</xdr:colOff>
      <xdr:row>100</xdr:row>
      <xdr:rowOff>152400</xdr:rowOff>
    </xdr:to>
    <xdr:sp macro="" textlink="">
      <xdr:nvSpPr>
        <xdr:cNvPr id="19" name="角丸四角形吹き出し 18"/>
        <xdr:cNvSpPr/>
      </xdr:nvSpPr>
      <xdr:spPr>
        <a:xfrm>
          <a:off x="9667875" y="10744200"/>
          <a:ext cx="2314575" cy="514350"/>
        </a:xfrm>
        <a:prstGeom prst="wedgeRoundRectCallout">
          <a:avLst>
            <a:gd name="adj1" fmla="val -26771"/>
            <a:gd name="adj2" fmla="val -13087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②これらは定数という認識です。</a:t>
          </a:r>
        </a:p>
      </xdr:txBody>
    </xdr:sp>
    <xdr:clientData/>
  </xdr:twoCellAnchor>
  <xdr:twoCellAnchor>
    <xdr:from>
      <xdr:col>16</xdr:col>
      <xdr:colOff>247651</xdr:colOff>
      <xdr:row>93</xdr:row>
      <xdr:rowOff>104774</xdr:rowOff>
    </xdr:from>
    <xdr:to>
      <xdr:col>20</xdr:col>
      <xdr:colOff>647701</xdr:colOff>
      <xdr:row>99</xdr:row>
      <xdr:rowOff>38100</xdr:rowOff>
    </xdr:to>
    <xdr:sp macro="" textlink="">
      <xdr:nvSpPr>
        <xdr:cNvPr id="22" name="角丸四角形吹き出し 21"/>
        <xdr:cNvSpPr/>
      </xdr:nvSpPr>
      <xdr:spPr>
        <a:xfrm>
          <a:off x="13306426" y="9991724"/>
          <a:ext cx="3409950" cy="981076"/>
        </a:xfrm>
        <a:prstGeom prst="wedgeRoundRectCallout">
          <a:avLst>
            <a:gd name="adj1" fmla="val -56401"/>
            <a:gd name="adj2" fmla="val -2531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③未就学児がいる世帯で軽減該当でない場合は、</a:t>
          </a:r>
          <a:endParaRPr kumimoji="1" lang="en-US" altLang="ja-JP" sz="1100"/>
        </a:p>
        <a:p>
          <a:pPr algn="l"/>
          <a:r>
            <a:rPr kumimoji="1" lang="en-US" altLang="ja-JP" sz="1100"/>
            <a:t>5</a:t>
          </a:r>
          <a:r>
            <a:rPr kumimoji="1" lang="ja-JP" altLang="en-US" sz="1100"/>
            <a:t>割減額される（介護・均等割以外）。</a:t>
          </a:r>
          <a:endParaRPr kumimoji="1" lang="en-US" altLang="ja-JP" sz="1100"/>
        </a:p>
        <a:p>
          <a:pPr algn="l"/>
          <a:r>
            <a:rPr kumimoji="1" lang="ja-JP" altLang="en-US" sz="1100"/>
            <a:t>ただし、</a:t>
          </a:r>
          <a:r>
            <a:rPr kumimoji="1" lang="en-US" altLang="ja-JP" sz="1100"/>
            <a:t>7</a:t>
          </a:r>
          <a:r>
            <a:rPr kumimoji="1" lang="ja-JP" altLang="en-US" sz="1100"/>
            <a:t>割軽減該当の場合は、さらに</a:t>
          </a:r>
          <a:r>
            <a:rPr kumimoji="1" lang="en-US" altLang="ja-JP" sz="1100"/>
            <a:t>1.5</a:t>
          </a:r>
          <a:r>
            <a:rPr kumimoji="1" lang="ja-JP" altLang="en-US" sz="1100"/>
            <a:t>割軽減</a:t>
          </a:r>
          <a:endParaRPr kumimoji="1" lang="en-US" altLang="ja-JP" sz="1100"/>
        </a:p>
        <a:p>
          <a:pPr algn="l"/>
          <a:r>
            <a:rPr kumimoji="1" lang="ja-JP" altLang="en-US" sz="1100"/>
            <a:t>される（未就学児分）。</a:t>
          </a:r>
        </a:p>
      </xdr:txBody>
    </xdr:sp>
    <xdr:clientData/>
  </xdr:twoCellAnchor>
  <xdr:twoCellAnchor>
    <xdr:from>
      <xdr:col>16</xdr:col>
      <xdr:colOff>323850</xdr:colOff>
      <xdr:row>83</xdr:row>
      <xdr:rowOff>47624</xdr:rowOff>
    </xdr:from>
    <xdr:to>
      <xdr:col>22</xdr:col>
      <xdr:colOff>266699</xdr:colOff>
      <xdr:row>89</xdr:row>
      <xdr:rowOff>0</xdr:rowOff>
    </xdr:to>
    <xdr:sp macro="" textlink="">
      <xdr:nvSpPr>
        <xdr:cNvPr id="15" name="角丸四角形吹き出し 14"/>
        <xdr:cNvSpPr/>
      </xdr:nvSpPr>
      <xdr:spPr>
        <a:xfrm>
          <a:off x="13382625" y="8220074"/>
          <a:ext cx="4324349" cy="981076"/>
        </a:xfrm>
        <a:prstGeom prst="wedgeRoundRectCallout">
          <a:avLst>
            <a:gd name="adj1" fmla="val -56401"/>
            <a:gd name="adj2" fmla="val -2531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④</a:t>
          </a:r>
          <a:r>
            <a:rPr kumimoji="1" lang="en-US" altLang="ja-JP" sz="1100"/>
            <a:t>83</a:t>
          </a:r>
          <a:r>
            <a:rPr kumimoji="1" lang="ja-JP" altLang="en-US" sz="1100"/>
            <a:t>行目の決定額で既に合計値を</a:t>
          </a:r>
          <a:r>
            <a:rPr kumimoji="1" lang="en-US" altLang="ja-JP" sz="1100"/>
            <a:t>x</a:t>
          </a:r>
          <a:r>
            <a:rPr kumimoji="1" lang="ja-JP" altLang="en-US" sz="1100"/>
            <a:t>割軽減した値になっているので、さらに減額する分（③の値）を決定額から引き、決定額としている。国保税計算シートの</a:t>
          </a:r>
          <a:r>
            <a:rPr kumimoji="1" lang="en-US" altLang="ja-JP" sz="1100"/>
            <a:t>I26</a:t>
          </a:r>
          <a:r>
            <a:rPr kumimoji="1" lang="ja-JP" altLang="en-US" sz="1100"/>
            <a:t>（未就学児の数）が</a:t>
          </a:r>
          <a:r>
            <a:rPr kumimoji="1" lang="en-US" altLang="ja-JP" sz="1100"/>
            <a:t>0</a:t>
          </a:r>
          <a:r>
            <a:rPr kumimoji="1" lang="ja-JP" altLang="en-US" sz="1100"/>
            <a:t>または空白のときは</a:t>
          </a:r>
          <a:r>
            <a:rPr kumimoji="1" lang="en-US" altLang="ja-JP" sz="1100"/>
            <a:t>0</a:t>
          </a:r>
          <a:r>
            <a:rPr kumimoji="1" lang="ja-JP" altLang="en-US" sz="1100"/>
            <a:t>を引くので未就学児がいない世帯への計算結果の影響はなしです。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57"/>
  <sheetViews>
    <sheetView tabSelected="1" zoomScale="90" zoomScaleNormal="90" workbookViewId="0">
      <selection activeCell="G8" sqref="G8"/>
    </sheetView>
  </sheetViews>
  <sheetFormatPr defaultRowHeight="13.5" x14ac:dyDescent="0.15"/>
  <cols>
    <col min="1" max="1" width="2.875" style="75" customWidth="1"/>
    <col min="2" max="2" width="9" style="75"/>
    <col min="3" max="3" width="29.5" style="75" customWidth="1"/>
    <col min="4" max="4" width="10.875" style="75" customWidth="1"/>
    <col min="5" max="5" width="8.875" style="75" customWidth="1"/>
    <col min="6" max="6" width="2.375" style="75" customWidth="1"/>
    <col min="7" max="7" width="16.625" style="75" customWidth="1"/>
    <col min="8" max="8" width="1.625" style="75" customWidth="1"/>
    <col min="9" max="9" width="10.875" style="75" customWidth="1"/>
    <col min="10" max="10" width="1.625" style="75" customWidth="1"/>
    <col min="11" max="11" width="28.125" style="75" customWidth="1"/>
    <col min="12" max="12" width="10.75" style="75" customWidth="1"/>
    <col min="13" max="13" width="1.625" style="75" customWidth="1"/>
    <col min="14" max="14" width="29.5" style="75" customWidth="1"/>
    <col min="15" max="15" width="10.75" style="75" customWidth="1"/>
    <col min="16" max="16" width="11.375" style="75" customWidth="1"/>
    <col min="17" max="17" width="4.25" style="75" customWidth="1"/>
    <col min="18" max="18" width="3.5" style="75" customWidth="1"/>
    <col min="19" max="19" width="6.375" style="75" customWidth="1"/>
    <col min="20" max="16384" width="9" style="75"/>
  </cols>
  <sheetData>
    <row r="1" spans="2:18" ht="41.25" customHeight="1" x14ac:dyDescent="0.15">
      <c r="B1" s="74" t="s">
        <v>50</v>
      </c>
    </row>
    <row r="2" spans="2:18" x14ac:dyDescent="0.15">
      <c r="K2" s="76"/>
      <c r="L2" s="77"/>
      <c r="N2" s="76"/>
      <c r="O2" s="77"/>
    </row>
    <row r="3" spans="2:18" ht="17.25" x14ac:dyDescent="0.15">
      <c r="B3" s="105" t="s">
        <v>71</v>
      </c>
      <c r="J3" s="78"/>
      <c r="K3" s="79"/>
      <c r="L3" s="80"/>
      <c r="M3" s="78"/>
      <c r="N3" s="79"/>
      <c r="O3" s="80"/>
      <c r="P3" s="78"/>
      <c r="Q3" s="78"/>
    </row>
    <row r="4" spans="2:18" x14ac:dyDescent="0.15">
      <c r="G4" s="81" t="s">
        <v>46</v>
      </c>
      <c r="H4" s="81"/>
      <c r="I4" s="75" t="s">
        <v>76</v>
      </c>
      <c r="J4" s="82"/>
      <c r="K4" s="79"/>
      <c r="L4" s="80"/>
      <c r="M4" s="78"/>
      <c r="N4" s="79"/>
      <c r="O4" s="80"/>
      <c r="P4" s="78"/>
      <c r="Q4" s="78"/>
    </row>
    <row r="5" spans="2:18" ht="3" customHeight="1" x14ac:dyDescent="0.15">
      <c r="E5" s="83"/>
      <c r="F5" s="83"/>
      <c r="G5" s="84"/>
      <c r="H5" s="84"/>
      <c r="I5" s="78"/>
      <c r="J5" s="85"/>
      <c r="K5" s="78"/>
      <c r="L5" s="78"/>
      <c r="M5" s="85"/>
      <c r="N5" s="78"/>
      <c r="O5" s="78"/>
      <c r="P5" s="78"/>
      <c r="Q5" s="78"/>
    </row>
    <row r="6" spans="2:18" x14ac:dyDescent="0.15">
      <c r="C6" s="86"/>
      <c r="E6" s="76" t="s">
        <v>77</v>
      </c>
      <c r="F6" s="111"/>
      <c r="G6" s="67"/>
      <c r="H6" s="83"/>
      <c r="I6" s="69"/>
      <c r="J6" s="109"/>
      <c r="K6" s="109"/>
      <c r="L6" s="109"/>
      <c r="M6" s="109"/>
      <c r="N6" s="109"/>
      <c r="O6" s="109"/>
      <c r="P6" s="109"/>
      <c r="Q6" s="109"/>
    </row>
    <row r="7" spans="2:18" ht="3" customHeight="1" x14ac:dyDescent="0.15">
      <c r="C7" s="86"/>
      <c r="F7" s="83"/>
      <c r="G7" s="83"/>
      <c r="H7" s="83"/>
      <c r="I7" s="83"/>
      <c r="J7" s="85"/>
      <c r="K7" s="78"/>
      <c r="L7" s="78"/>
      <c r="M7" s="85"/>
      <c r="N7" s="78"/>
      <c r="O7" s="78"/>
      <c r="P7" s="78"/>
      <c r="Q7" s="78"/>
    </row>
    <row r="8" spans="2:18" x14ac:dyDescent="0.15">
      <c r="C8" s="86"/>
      <c r="E8" s="86" t="s">
        <v>9</v>
      </c>
      <c r="F8" s="86"/>
      <c r="G8" s="67"/>
      <c r="H8" s="83"/>
      <c r="I8" s="69"/>
      <c r="J8" s="109"/>
      <c r="K8" s="109"/>
      <c r="L8" s="109"/>
      <c r="M8" s="109"/>
      <c r="N8" s="109"/>
      <c r="O8" s="109"/>
      <c r="P8" s="109"/>
      <c r="Q8" s="109"/>
    </row>
    <row r="9" spans="2:18" ht="3" customHeight="1" x14ac:dyDescent="0.15">
      <c r="C9" s="86"/>
      <c r="E9" s="86"/>
      <c r="F9" s="86"/>
      <c r="G9" s="83"/>
      <c r="H9" s="83"/>
      <c r="I9" s="83"/>
      <c r="J9" s="85"/>
      <c r="K9" s="78"/>
      <c r="L9" s="78"/>
      <c r="M9" s="85"/>
      <c r="N9" s="78"/>
      <c r="O9" s="78"/>
      <c r="P9" s="78"/>
      <c r="Q9" s="78"/>
    </row>
    <row r="10" spans="2:18" x14ac:dyDescent="0.15">
      <c r="C10" s="86"/>
      <c r="E10" s="86" t="s">
        <v>10</v>
      </c>
      <c r="F10" s="86"/>
      <c r="G10" s="68"/>
      <c r="H10" s="127"/>
      <c r="I10" s="69"/>
      <c r="J10" s="109"/>
      <c r="K10" s="109"/>
      <c r="L10" s="109"/>
      <c r="M10" s="109"/>
      <c r="N10" s="109"/>
      <c r="O10" s="109"/>
      <c r="P10" s="109"/>
      <c r="Q10" s="109"/>
    </row>
    <row r="11" spans="2:18" ht="3" customHeight="1" x14ac:dyDescent="0.15">
      <c r="C11" s="86"/>
      <c r="E11" s="86"/>
      <c r="F11" s="86"/>
      <c r="G11" s="83"/>
      <c r="H11" s="83"/>
      <c r="I11" s="83"/>
      <c r="J11" s="85"/>
      <c r="K11" s="78"/>
      <c r="L11" s="78"/>
      <c r="M11" s="85"/>
      <c r="N11" s="78"/>
      <c r="O11" s="78"/>
      <c r="P11" s="78"/>
      <c r="Q11" s="78"/>
    </row>
    <row r="12" spans="2:18" x14ac:dyDescent="0.15">
      <c r="C12" s="86"/>
      <c r="E12" s="86" t="s">
        <v>11</v>
      </c>
      <c r="F12" s="86"/>
      <c r="G12" s="68"/>
      <c r="H12" s="127"/>
      <c r="I12" s="69"/>
      <c r="J12" s="108"/>
      <c r="K12" s="108"/>
      <c r="L12" s="108"/>
      <c r="M12" s="108"/>
      <c r="N12" s="108"/>
      <c r="O12" s="108"/>
      <c r="P12" s="108"/>
      <c r="Q12" s="108"/>
    </row>
    <row r="13" spans="2:18" ht="3" customHeight="1" x14ac:dyDescent="0.15">
      <c r="C13" s="86"/>
      <c r="E13" s="86"/>
      <c r="F13" s="86"/>
      <c r="G13" s="83"/>
      <c r="H13" s="83"/>
      <c r="I13" s="83"/>
      <c r="J13" s="85"/>
      <c r="K13" s="78"/>
      <c r="L13" s="78"/>
      <c r="M13" s="85"/>
      <c r="N13" s="78"/>
      <c r="O13" s="78"/>
      <c r="P13" s="78"/>
      <c r="Q13" s="78"/>
    </row>
    <row r="14" spans="2:18" x14ac:dyDescent="0.15">
      <c r="C14" s="86"/>
      <c r="E14" s="86" t="s">
        <v>12</v>
      </c>
      <c r="F14" s="86"/>
      <c r="G14" s="68"/>
      <c r="H14" s="127"/>
      <c r="I14" s="69"/>
      <c r="J14" s="108"/>
      <c r="K14" s="108"/>
      <c r="L14" s="108"/>
      <c r="M14" s="108"/>
      <c r="N14" s="108"/>
      <c r="O14" s="108"/>
      <c r="P14" s="108"/>
      <c r="Q14" s="108"/>
      <c r="R14" s="78"/>
    </row>
    <row r="15" spans="2:18" ht="3" customHeight="1" x14ac:dyDescent="0.15">
      <c r="C15" s="86"/>
      <c r="E15" s="86"/>
      <c r="F15" s="86"/>
      <c r="G15" s="83"/>
      <c r="H15" s="83"/>
      <c r="I15" s="83"/>
      <c r="J15" s="85"/>
      <c r="K15" s="78"/>
      <c r="L15" s="78"/>
      <c r="M15" s="85"/>
      <c r="N15" s="78"/>
      <c r="O15" s="78"/>
      <c r="P15" s="78"/>
      <c r="Q15" s="78"/>
    </row>
    <row r="16" spans="2:18" x14ac:dyDescent="0.15">
      <c r="C16" s="86"/>
      <c r="E16" s="86" t="s">
        <v>13</v>
      </c>
      <c r="F16" s="86"/>
      <c r="G16" s="68"/>
      <c r="H16" s="127"/>
      <c r="I16" s="69"/>
      <c r="J16" s="108"/>
      <c r="K16" s="108"/>
      <c r="L16" s="108"/>
      <c r="M16" s="108"/>
      <c r="N16" s="108"/>
      <c r="O16" s="108"/>
      <c r="P16" s="108"/>
      <c r="Q16" s="108"/>
    </row>
    <row r="17" spans="1:21" ht="3" customHeight="1" x14ac:dyDescent="0.15">
      <c r="C17" s="86"/>
      <c r="E17" s="86"/>
      <c r="F17" s="86"/>
      <c r="G17" s="83"/>
      <c r="H17" s="83"/>
      <c r="I17" s="83"/>
      <c r="J17" s="85"/>
      <c r="K17" s="78"/>
      <c r="L17" s="78"/>
      <c r="M17" s="85"/>
      <c r="N17" s="78"/>
      <c r="O17" s="78"/>
      <c r="P17" s="78"/>
      <c r="Q17" s="78"/>
    </row>
    <row r="18" spans="1:21" ht="13.5" customHeight="1" x14ac:dyDescent="0.15">
      <c r="C18" s="86"/>
      <c r="E18" s="86" t="s">
        <v>21</v>
      </c>
      <c r="F18" s="86"/>
      <c r="G18" s="68"/>
      <c r="H18" s="127"/>
      <c r="I18" s="69"/>
      <c r="J18" s="108"/>
      <c r="K18" s="108"/>
      <c r="L18" s="108"/>
      <c r="M18" s="108"/>
      <c r="N18" s="108"/>
      <c r="O18" s="108"/>
      <c r="P18" s="108"/>
      <c r="Q18" s="108"/>
    </row>
    <row r="19" spans="1:21" ht="3" customHeight="1" x14ac:dyDescent="0.15">
      <c r="C19" s="86"/>
      <c r="E19" s="86"/>
      <c r="F19" s="86"/>
      <c r="G19" s="83"/>
      <c r="H19" s="83"/>
      <c r="I19" s="83"/>
      <c r="J19" s="85"/>
      <c r="K19" s="78"/>
      <c r="L19" s="78"/>
      <c r="M19" s="85"/>
      <c r="N19" s="78"/>
      <c r="O19" s="78"/>
      <c r="P19" s="78"/>
      <c r="Q19" s="78"/>
    </row>
    <row r="20" spans="1:21" x14ac:dyDescent="0.15">
      <c r="C20" s="86"/>
      <c r="E20" s="86" t="s">
        <v>22</v>
      </c>
      <c r="F20" s="86"/>
      <c r="G20" s="68"/>
      <c r="H20" s="127"/>
      <c r="I20" s="69"/>
      <c r="J20" s="109"/>
      <c r="K20" s="109"/>
      <c r="L20" s="109"/>
      <c r="M20" s="109"/>
      <c r="N20" s="109"/>
      <c r="O20" s="109"/>
      <c r="P20" s="109"/>
      <c r="Q20" s="109"/>
      <c r="S20" s="78"/>
    </row>
    <row r="21" spans="1:21" ht="6.75" customHeight="1" x14ac:dyDescent="0.15">
      <c r="C21" s="87"/>
      <c r="D21" s="83"/>
      <c r="F21" s="83"/>
      <c r="G21" s="109"/>
      <c r="H21" s="109"/>
      <c r="I21" s="83"/>
      <c r="J21" s="85"/>
      <c r="K21" s="78"/>
      <c r="L21" s="78"/>
      <c r="M21" s="85"/>
      <c r="N21" s="78"/>
      <c r="O21" s="78"/>
      <c r="P21" s="78"/>
      <c r="Q21" s="78"/>
      <c r="U21" s="75" t="s">
        <v>72</v>
      </c>
    </row>
    <row r="22" spans="1:21" x14ac:dyDescent="0.15">
      <c r="D22" s="59"/>
      <c r="F22" s="83"/>
      <c r="G22" s="109"/>
      <c r="H22" s="109"/>
      <c r="I22" s="70"/>
      <c r="J22" s="109"/>
      <c r="K22" s="109"/>
      <c r="L22" s="109"/>
      <c r="M22" s="109"/>
      <c r="N22" s="109"/>
      <c r="O22" s="109"/>
      <c r="P22" s="109"/>
      <c r="Q22" s="109"/>
      <c r="R22" s="78"/>
    </row>
    <row r="23" spans="1:21" ht="3" customHeight="1" x14ac:dyDescent="0.15">
      <c r="C23" s="87"/>
      <c r="D23" s="83"/>
      <c r="F23" s="83"/>
      <c r="G23" s="88"/>
      <c r="H23" s="88"/>
      <c r="I23" s="83"/>
      <c r="J23" s="85"/>
      <c r="K23" s="78"/>
      <c r="L23" s="78"/>
      <c r="M23" s="85"/>
      <c r="N23" s="78"/>
      <c r="O23" s="78"/>
      <c r="P23" s="78"/>
      <c r="Q23" s="78"/>
    </row>
    <row r="24" spans="1:21" x14ac:dyDescent="0.15">
      <c r="C24" s="132"/>
      <c r="D24" s="132"/>
      <c r="F24" s="83"/>
      <c r="G24" s="75" t="s">
        <v>74</v>
      </c>
      <c r="I24" s="71"/>
      <c r="J24" s="85"/>
      <c r="K24" s="78"/>
      <c r="L24" s="78"/>
      <c r="M24" s="85"/>
      <c r="N24" s="78"/>
      <c r="O24" s="78"/>
      <c r="P24" s="78"/>
      <c r="Q24" s="78"/>
    </row>
    <row r="25" spans="1:21" ht="3" customHeight="1" x14ac:dyDescent="0.15">
      <c r="C25" s="87"/>
      <c r="D25" s="83"/>
      <c r="F25" s="83"/>
      <c r="G25" s="76"/>
      <c r="H25" s="76"/>
      <c r="I25" s="83"/>
      <c r="J25" s="83"/>
      <c r="M25" s="83"/>
    </row>
    <row r="26" spans="1:21" ht="15.75" customHeight="1" x14ac:dyDescent="0.15">
      <c r="D26" s="102"/>
      <c r="F26" s="83"/>
      <c r="G26" s="75" t="s">
        <v>75</v>
      </c>
      <c r="I26" s="104"/>
      <c r="J26" s="83"/>
      <c r="M26" s="83"/>
    </row>
    <row r="27" spans="1:21" ht="3" customHeight="1" x14ac:dyDescent="0.15">
      <c r="D27" s="83"/>
      <c r="E27" s="83"/>
      <c r="F27" s="83"/>
      <c r="J27" s="83"/>
      <c r="M27" s="83"/>
    </row>
    <row r="28" spans="1:21" x14ac:dyDescent="0.15">
      <c r="C28" s="130" t="s">
        <v>1</v>
      </c>
      <c r="D28" s="130"/>
      <c r="E28" s="131" t="s">
        <v>44</v>
      </c>
      <c r="F28" s="131"/>
      <c r="G28" s="131"/>
      <c r="H28" s="131"/>
      <c r="I28" s="131"/>
      <c r="J28" s="83"/>
      <c r="K28" s="130" t="s">
        <v>45</v>
      </c>
      <c r="L28" s="130"/>
      <c r="M28" s="83"/>
      <c r="N28" s="130" t="s">
        <v>92</v>
      </c>
      <c r="O28" s="130"/>
    </row>
    <row r="29" spans="1:21" ht="16.5" customHeight="1" x14ac:dyDescent="0.15">
      <c r="B29" s="89" t="s">
        <v>2</v>
      </c>
      <c r="C29" s="125" t="s">
        <v>70</v>
      </c>
      <c r="D29" s="8" t="str">
        <f>IF(Mstr!H24*0.058&lt;=0," ",ROUNDDOWN(Mstr!H24*0.058,0))</f>
        <v xml:space="preserve"> </v>
      </c>
      <c r="E29" s="134" t="s">
        <v>60</v>
      </c>
      <c r="F29" s="135"/>
      <c r="G29" s="135"/>
      <c r="H29" s="136"/>
      <c r="I29" s="8" t="str">
        <f>IF(Mstr!H24*0.025&lt;=0," ",ROUNDDOWN(Mstr!H24*0.025,0))</f>
        <v xml:space="preserve"> </v>
      </c>
      <c r="J29" s="90"/>
      <c r="K29" s="125" t="s">
        <v>57</v>
      </c>
      <c r="L29" s="8" t="str">
        <f>IF(Mstr!H46*0.024&lt;=0," ",ROUNDDOWN(Mstr!H46*0.024,0))</f>
        <v xml:space="preserve"> </v>
      </c>
      <c r="M29" s="90"/>
      <c r="N29" s="125" t="s">
        <v>87</v>
      </c>
      <c r="O29" s="8" t="str">
        <f>IF(Mstr!H68*0.0029&lt;=0," ",ROUNDDOWN(Mstr!H68*0.0029,0))</f>
        <v xml:space="preserve"> </v>
      </c>
    </row>
    <row r="30" spans="1:21" ht="15.75" customHeight="1" x14ac:dyDescent="0.15">
      <c r="A30" s="91"/>
      <c r="B30" s="89" t="s">
        <v>5</v>
      </c>
      <c r="C30" s="126" t="s">
        <v>58</v>
      </c>
      <c r="D30" s="37" t="str">
        <f>IF(Mstr!M85&lt;=0,"",Mstr!M85)</f>
        <v/>
      </c>
      <c r="E30" s="137" t="s">
        <v>49</v>
      </c>
      <c r="F30" s="138"/>
      <c r="G30" s="138"/>
      <c r="H30" s="139"/>
      <c r="I30" s="36" t="str">
        <f>IF(Mstr!N85&lt;=0,"",Mstr!N85)</f>
        <v/>
      </c>
      <c r="J30" s="92"/>
      <c r="K30" s="126" t="s">
        <v>89</v>
      </c>
      <c r="L30" s="35" t="str">
        <f>IF(Mstr!O85&lt;=0,"",Mstr!O85)</f>
        <v/>
      </c>
      <c r="M30" s="92"/>
      <c r="N30" s="126" t="s">
        <v>88</v>
      </c>
      <c r="O30" s="35" t="str">
        <f>IF(Mstr!P85&lt;=0,"",Mstr!P85)</f>
        <v/>
      </c>
    </row>
    <row r="31" spans="1:21" ht="15.75" customHeight="1" x14ac:dyDescent="0.15">
      <c r="A31" s="91"/>
      <c r="B31" s="93" t="s">
        <v>3</v>
      </c>
      <c r="C31" s="94" t="s">
        <v>59</v>
      </c>
      <c r="D31" s="35" t="str">
        <f>IF(AND(Mstr!L22=0,Mstr!L24=0),"",VLOOKUP(Mstr!$J$79,Mstr!$L$77:$R$81,6,FALSE))</f>
        <v/>
      </c>
      <c r="E31" s="140"/>
      <c r="F31" s="141"/>
      <c r="G31" s="141"/>
      <c r="H31" s="142"/>
      <c r="I31" s="112"/>
      <c r="J31" s="92"/>
      <c r="K31" s="91"/>
      <c r="L31" s="38"/>
      <c r="M31" s="92"/>
      <c r="N31" s="91"/>
      <c r="O31" s="38"/>
    </row>
    <row r="32" spans="1:21" ht="15.75" customHeight="1" x14ac:dyDescent="0.15">
      <c r="A32" s="91"/>
      <c r="B32" s="95" t="s">
        <v>4</v>
      </c>
      <c r="C32" s="96"/>
      <c r="D32" s="9">
        <f>IF(Mstr!H76&lt;670000,Mstr!H76,670000)</f>
        <v>0</v>
      </c>
      <c r="E32" s="143"/>
      <c r="F32" s="144"/>
      <c r="G32" s="144"/>
      <c r="H32" s="145"/>
      <c r="I32" s="9">
        <f>IF(Mstr!I76&lt;260000,Mstr!I76,260000)</f>
        <v>0</v>
      </c>
      <c r="J32" s="90"/>
      <c r="K32" s="96"/>
      <c r="L32" s="9">
        <f>IF(Mstr!J76&lt;170000,Mstr!J76,170000)</f>
        <v>0</v>
      </c>
      <c r="M32" s="90"/>
      <c r="N32" s="96"/>
      <c r="O32" s="9">
        <f>IF(Mstr!K76&lt;30000,Mstr!K76,30000)</f>
        <v>0</v>
      </c>
      <c r="P32" s="75" t="s">
        <v>52</v>
      </c>
    </row>
    <row r="33" spans="1:19" x14ac:dyDescent="0.15">
      <c r="B33" s="97"/>
      <c r="D33" s="98" t="s">
        <v>91</v>
      </c>
      <c r="E33" s="83"/>
      <c r="F33" s="83"/>
      <c r="I33" s="98" t="s">
        <v>73</v>
      </c>
      <c r="J33" s="83"/>
      <c r="L33" s="99" t="s">
        <v>51</v>
      </c>
      <c r="M33" s="83"/>
      <c r="O33" s="99" t="s">
        <v>86</v>
      </c>
    </row>
    <row r="34" spans="1:19" x14ac:dyDescent="0.15">
      <c r="E34" s="83"/>
      <c r="F34" s="83"/>
      <c r="J34" s="83"/>
      <c r="M34" s="83"/>
      <c r="N34" s="128"/>
      <c r="O34" s="128"/>
    </row>
    <row r="35" spans="1:19" ht="21.75" customHeight="1" x14ac:dyDescent="0.15">
      <c r="C35" s="106" t="s">
        <v>7</v>
      </c>
      <c r="D35" s="10" t="str">
        <f>IF(Mstr!H79=0,"",Mstr!H79)</f>
        <v/>
      </c>
      <c r="E35" s="107" t="s">
        <v>6</v>
      </c>
      <c r="F35" s="83"/>
      <c r="G35" s="100" t="str">
        <f>IF(Mstr!J81="軽減なし","",Mstr!J81)</f>
        <v/>
      </c>
      <c r="H35" s="100"/>
      <c r="J35" s="83"/>
      <c r="M35" s="129"/>
      <c r="N35" s="133" t="s">
        <v>93</v>
      </c>
      <c r="O35" s="133"/>
      <c r="P35" s="128"/>
    </row>
    <row r="36" spans="1:19" ht="5.25" customHeight="1" x14ac:dyDescent="0.15">
      <c r="C36" s="76"/>
      <c r="D36" s="101"/>
      <c r="E36" s="107"/>
      <c r="F36" s="83"/>
      <c r="J36" s="83"/>
      <c r="M36" s="129"/>
      <c r="N36" s="133"/>
      <c r="O36" s="133"/>
      <c r="P36" s="128"/>
    </row>
    <row r="37" spans="1:19" ht="21.75" customHeight="1" x14ac:dyDescent="0.15">
      <c r="C37" s="106" t="s">
        <v>8</v>
      </c>
      <c r="D37" s="10" t="str">
        <f>IF(Mstr!H81=0,"",Mstr!H81)</f>
        <v/>
      </c>
      <c r="E37" s="107" t="s">
        <v>0</v>
      </c>
      <c r="F37" s="83"/>
      <c r="J37" s="83"/>
      <c r="K37" s="78"/>
      <c r="M37" s="129"/>
      <c r="N37" s="133"/>
      <c r="O37" s="133"/>
    </row>
    <row r="38" spans="1:19" s="83" customFormat="1" ht="21.75" customHeight="1" x14ac:dyDescent="0.15">
      <c r="C38" s="102"/>
      <c r="D38" s="18"/>
    </row>
    <row r="39" spans="1:19" x14ac:dyDescent="0.15">
      <c r="E39" s="83"/>
      <c r="F39" s="83"/>
      <c r="J39" s="83"/>
      <c r="M39" s="83"/>
    </row>
    <row r="40" spans="1:19" ht="6" customHeight="1" x14ac:dyDescent="0.15">
      <c r="A40" s="78"/>
      <c r="B40" s="78"/>
      <c r="C40" s="78"/>
      <c r="D40" s="78"/>
      <c r="E40" s="85"/>
      <c r="F40" s="85"/>
      <c r="G40" s="78"/>
      <c r="H40" s="78"/>
      <c r="I40" s="78"/>
      <c r="J40" s="85"/>
      <c r="K40" s="78"/>
      <c r="L40" s="78"/>
      <c r="M40" s="85"/>
      <c r="N40" s="78"/>
      <c r="O40" s="78"/>
      <c r="P40" s="78"/>
      <c r="Q40" s="78"/>
      <c r="R40" s="78"/>
      <c r="S40" s="78"/>
    </row>
    <row r="41" spans="1:19" ht="15" x14ac:dyDescent="0.15">
      <c r="A41" s="78"/>
      <c r="B41" s="103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</row>
    <row r="42" spans="1:19" ht="15" x14ac:dyDescent="0.15">
      <c r="B42" s="103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1:19" ht="15" x14ac:dyDescent="0.15">
      <c r="B43" s="103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</row>
    <row r="44" spans="1:19" ht="6.75" customHeight="1" x14ac:dyDescent="0.15">
      <c r="B44" s="103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</row>
    <row r="48" spans="1:19" x14ac:dyDescent="0.15">
      <c r="C48" s="78"/>
    </row>
    <row r="57" spans="14:15" ht="17.25" x14ac:dyDescent="0.15">
      <c r="N57" s="113" t="s">
        <v>78</v>
      </c>
      <c r="O57" s="113"/>
    </row>
  </sheetData>
  <sheetProtection password="E2DB" sheet="1" selectLockedCells="1"/>
  <protectedRanges>
    <protectedRange sqref="C24 D22" name="D4、D6、D8、D10"/>
  </protectedRanges>
  <mergeCells count="10">
    <mergeCell ref="C28:D28"/>
    <mergeCell ref="K28:L28"/>
    <mergeCell ref="E28:I28"/>
    <mergeCell ref="C24:D24"/>
    <mergeCell ref="N35:O37"/>
    <mergeCell ref="E29:H29"/>
    <mergeCell ref="E30:H30"/>
    <mergeCell ref="E31:H31"/>
    <mergeCell ref="E32:H32"/>
    <mergeCell ref="N28:O28"/>
  </mergeCells>
  <phoneticPr fontId="1"/>
  <dataValidations count="1">
    <dataValidation type="list" showInputMessage="1" showErrorMessage="1" errorTitle="年齢入力エラー" error="該当する年齢をリストからお選びください。_x000a_" sqref="G20 G8 G10 G12 G14 G18 G6 G16">
      <formula1>年齢選択</formula1>
    </dataValidation>
  </dataValidations>
  <pageMargins left="0.39370078740157483" right="0.39370078740157483" top="0.59055118110236227" bottom="0.39370078740157483" header="0.31496062992125984" footer="0.31496062992125984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13"/>
  <sheetViews>
    <sheetView topLeftCell="D1" zoomScaleNormal="100" workbookViewId="0">
      <selection activeCell="H22" sqref="H22"/>
    </sheetView>
  </sheetViews>
  <sheetFormatPr defaultRowHeight="13.5" x14ac:dyDescent="0.15"/>
  <cols>
    <col min="8" max="8" width="11.625" bestFit="1" customWidth="1"/>
    <col min="9" max="9" width="10.25" bestFit="1" customWidth="1"/>
    <col min="10" max="10" width="10.625" customWidth="1"/>
    <col min="11" max="11" width="11.375" customWidth="1"/>
    <col min="12" max="12" width="16" customWidth="1"/>
    <col min="13" max="14" width="12.125" bestFit="1" customWidth="1"/>
    <col min="15" max="16" width="11.875" customWidth="1"/>
    <col min="17" max="18" width="10" bestFit="1" customWidth="1"/>
    <col min="20" max="20" width="10.5" customWidth="1"/>
  </cols>
  <sheetData>
    <row r="1" spans="2:17" x14ac:dyDescent="0.15">
      <c r="F1" s="14"/>
      <c r="G1" s="14"/>
      <c r="H1" s="32" t="s">
        <v>17</v>
      </c>
      <c r="I1" s="14"/>
      <c r="J1" s="14"/>
      <c r="K1" s="14"/>
      <c r="L1" s="14"/>
      <c r="M1" s="14"/>
      <c r="N1" s="14"/>
      <c r="O1" s="14"/>
      <c r="P1" s="14"/>
      <c r="Q1" s="14"/>
    </row>
    <row r="2" spans="2:17" x14ac:dyDescent="0.15">
      <c r="B2" s="7"/>
      <c r="F2" s="14"/>
      <c r="G2" s="14"/>
      <c r="H2" t="s">
        <v>19</v>
      </c>
      <c r="I2" s="14" t="s">
        <v>20</v>
      </c>
      <c r="J2" s="14"/>
      <c r="K2" s="14"/>
      <c r="L2" s="14"/>
      <c r="M2" s="14"/>
      <c r="N2" s="14"/>
      <c r="O2" s="14"/>
      <c r="P2" s="14"/>
      <c r="Q2" s="14"/>
    </row>
    <row r="3" spans="2:17" ht="5.25" customHeight="1" x14ac:dyDescent="0.15"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2:17" x14ac:dyDescent="0.15">
      <c r="B4" s="2"/>
      <c r="C4" s="29"/>
      <c r="D4" s="22"/>
      <c r="E4" s="2"/>
      <c r="F4" s="21"/>
      <c r="G4" s="28" t="s">
        <v>14</v>
      </c>
      <c r="H4" s="24" t="str">
        <f>IF(国保税の計算シート!I6="","",国保税の計算シート!I6)</f>
        <v/>
      </c>
      <c r="I4" s="25" t="str">
        <f>IF(H4="","",IF(H4&lt;430000,0,H4-430000))</f>
        <v/>
      </c>
      <c r="J4" s="14"/>
      <c r="K4" s="14"/>
      <c r="L4" s="14"/>
      <c r="M4" s="14"/>
      <c r="N4" s="14"/>
      <c r="O4" s="14"/>
      <c r="P4" s="14"/>
      <c r="Q4" s="14"/>
    </row>
    <row r="5" spans="2:17" ht="5.0999999999999996" customHeight="1" x14ac:dyDescent="0.15">
      <c r="B5" s="2"/>
      <c r="C5" s="17"/>
      <c r="D5" s="2"/>
      <c r="E5" s="2"/>
      <c r="F5" s="21"/>
      <c r="G5" s="1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2:17" x14ac:dyDescent="0.15">
      <c r="B6" s="2"/>
      <c r="C6" s="30"/>
      <c r="D6" s="22"/>
      <c r="E6" s="2"/>
      <c r="F6" s="21"/>
      <c r="G6" s="11" t="s">
        <v>9</v>
      </c>
      <c r="H6" s="24" t="str">
        <f>IF(国保税の計算シート!I8="","",国保税の計算シート!I8)</f>
        <v/>
      </c>
      <c r="I6" s="25" t="str">
        <f>IF(H6="","",IF(H6&lt;430000,0,H6-430000))</f>
        <v/>
      </c>
      <c r="J6" s="14"/>
      <c r="K6" s="14"/>
      <c r="L6" s="14"/>
      <c r="M6" s="14"/>
      <c r="N6" s="14"/>
      <c r="O6" s="14"/>
      <c r="P6" s="14"/>
      <c r="Q6" s="14"/>
    </row>
    <row r="7" spans="2:17" ht="5.0999999999999996" customHeight="1" x14ac:dyDescent="0.15">
      <c r="B7" s="2"/>
      <c r="C7" s="30"/>
      <c r="D7" s="2"/>
      <c r="E7" s="2"/>
      <c r="F7" s="21"/>
      <c r="G7" s="11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2:17" x14ac:dyDescent="0.15">
      <c r="B8" s="2"/>
      <c r="C8" s="30"/>
      <c r="D8" s="22"/>
      <c r="E8" s="2"/>
      <c r="F8" s="21"/>
      <c r="G8" s="11" t="s">
        <v>10</v>
      </c>
      <c r="H8" s="24" t="str">
        <f>IF(国保税の計算シート!I10="","",国保税の計算シート!I10)</f>
        <v/>
      </c>
      <c r="I8" s="25" t="str">
        <f>IF(H8="","",IF(H8&lt;430000,0,H8-430000))</f>
        <v/>
      </c>
      <c r="J8" s="14"/>
      <c r="K8" s="14"/>
      <c r="L8" s="14"/>
      <c r="M8" s="14"/>
      <c r="N8" s="14"/>
      <c r="O8" s="14"/>
      <c r="P8" s="14"/>
      <c r="Q8" s="14"/>
    </row>
    <row r="9" spans="2:17" ht="5.0999999999999996" customHeight="1" x14ac:dyDescent="0.15">
      <c r="B9" s="2"/>
      <c r="C9" s="30"/>
      <c r="D9" s="2"/>
      <c r="E9" s="2"/>
      <c r="F9" s="21"/>
      <c r="G9" s="11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2:17" x14ac:dyDescent="0.15">
      <c r="B10" s="2"/>
      <c r="C10" s="30"/>
      <c r="D10" s="22"/>
      <c r="E10" s="2"/>
      <c r="F10" s="21"/>
      <c r="G10" s="11" t="s">
        <v>11</v>
      </c>
      <c r="H10" s="24" t="str">
        <f>IF(国保税の計算シート!I12="","",国保税の計算シート!I12)</f>
        <v/>
      </c>
      <c r="I10" s="25" t="str">
        <f>IF(H10="","",IF(H10&lt;430000,0,H10-430000))</f>
        <v/>
      </c>
      <c r="J10" s="14"/>
      <c r="K10" s="14"/>
      <c r="L10" s="14"/>
      <c r="M10" s="14"/>
      <c r="N10" s="14"/>
      <c r="O10" s="14"/>
      <c r="P10" s="14"/>
      <c r="Q10" s="14"/>
    </row>
    <row r="11" spans="2:17" ht="5.0999999999999996" customHeight="1" x14ac:dyDescent="0.15">
      <c r="B11" s="2"/>
      <c r="C11" s="30"/>
      <c r="D11" s="2"/>
      <c r="E11" s="2"/>
      <c r="F11" s="21"/>
      <c r="G11" s="11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2:17" x14ac:dyDescent="0.15">
      <c r="B12" s="2"/>
      <c r="C12" s="30"/>
      <c r="D12" s="22"/>
      <c r="E12" s="2"/>
      <c r="F12" s="21"/>
      <c r="G12" s="11" t="s">
        <v>12</v>
      </c>
      <c r="H12" s="24" t="str">
        <f>IF(国保税の計算シート!I14="","",国保税の計算シート!I14)</f>
        <v/>
      </c>
      <c r="I12" s="25" t="str">
        <f>IF(H12="","",IF(H12&lt;430000,0,H12-430000))</f>
        <v/>
      </c>
      <c r="J12" s="14"/>
      <c r="K12" s="14"/>
      <c r="L12" s="14"/>
      <c r="M12" s="14"/>
      <c r="N12" s="14"/>
      <c r="O12" s="14"/>
      <c r="P12" s="14"/>
      <c r="Q12" s="14"/>
    </row>
    <row r="13" spans="2:17" ht="5.0999999999999996" customHeight="1" x14ac:dyDescent="0.15">
      <c r="B13" s="2"/>
      <c r="C13" s="30"/>
      <c r="D13" s="2"/>
      <c r="E13" s="2"/>
      <c r="F13" s="21"/>
      <c r="G13" s="11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2:17" x14ac:dyDescent="0.15">
      <c r="B14" s="2"/>
      <c r="C14" s="30"/>
      <c r="D14" s="22"/>
      <c r="E14" s="2"/>
      <c r="F14" s="21"/>
      <c r="G14" s="11" t="s">
        <v>13</v>
      </c>
      <c r="H14" s="24" t="str">
        <f>IF(国保税の計算シート!I16="","",国保税の計算シート!I16)</f>
        <v/>
      </c>
      <c r="I14" s="25" t="str">
        <f>IF(H14="","",IF(H14&lt;430000,0,H14-430000))</f>
        <v/>
      </c>
      <c r="K14" s="14"/>
      <c r="L14" s="14"/>
      <c r="M14" s="14"/>
      <c r="N14" s="14"/>
      <c r="O14" s="14"/>
      <c r="P14" s="14"/>
      <c r="Q14" s="14"/>
    </row>
    <row r="15" spans="2:17" ht="5.0999999999999996" customHeight="1" x14ac:dyDescent="0.15">
      <c r="B15" s="2"/>
      <c r="C15" s="17"/>
      <c r="D15" s="2"/>
      <c r="E15" s="2"/>
      <c r="F15" s="21"/>
      <c r="G15" s="1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2:17" x14ac:dyDescent="0.15">
      <c r="B16" s="2"/>
      <c r="C16" s="29"/>
      <c r="D16" s="22"/>
      <c r="E16" s="2"/>
      <c r="F16" s="21"/>
      <c r="G16" s="28" t="s">
        <v>23</v>
      </c>
      <c r="H16" s="24" t="str">
        <f>IF(国保税の計算シート!I18="","",国保税の計算シート!I18)</f>
        <v/>
      </c>
      <c r="I16" s="25" t="str">
        <f>IF(H16="","",IF(H16&lt;430000,0,H16-430000))</f>
        <v/>
      </c>
      <c r="J16" s="14"/>
      <c r="K16" s="14"/>
      <c r="L16" s="14"/>
      <c r="M16" s="14"/>
      <c r="N16" s="14"/>
      <c r="O16" s="14"/>
      <c r="P16" s="14"/>
      <c r="Q16" s="14"/>
    </row>
    <row r="17" spans="2:17" ht="5.0999999999999996" customHeight="1" x14ac:dyDescent="0.15">
      <c r="B17" s="2"/>
      <c r="C17" s="17"/>
      <c r="D17" s="2"/>
      <c r="E17" s="2"/>
      <c r="F17" s="21"/>
      <c r="G17" s="1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2:17" x14ac:dyDescent="0.15">
      <c r="B18" s="2"/>
      <c r="C18" s="30"/>
      <c r="D18" s="22"/>
      <c r="E18" s="2"/>
      <c r="F18" s="21"/>
      <c r="G18" s="11" t="s">
        <v>24</v>
      </c>
      <c r="H18" s="24" t="str">
        <f>IF(国保税の計算シート!I20="","",国保税の計算シート!I20)</f>
        <v/>
      </c>
      <c r="I18" s="25" t="str">
        <f>IF(H18="","",IF(H18&lt;430000,0,H18-430000))</f>
        <v/>
      </c>
      <c r="J18" s="14"/>
      <c r="K18" s="14"/>
      <c r="L18" s="14"/>
      <c r="M18" s="14"/>
      <c r="N18" s="14"/>
      <c r="O18" s="14"/>
      <c r="P18" s="14"/>
      <c r="Q18" s="14"/>
    </row>
    <row r="19" spans="2:17" ht="5.0999999999999996" customHeight="1" x14ac:dyDescent="0.15">
      <c r="B19" s="2"/>
      <c r="C19" s="30"/>
      <c r="D19" s="2"/>
      <c r="E19" s="2"/>
      <c r="F19" s="21"/>
      <c r="G19" s="11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2:17" ht="14.25" customHeight="1" x14ac:dyDescent="0.15">
      <c r="B20" s="2"/>
      <c r="C20" s="30"/>
      <c r="D20" s="22"/>
      <c r="E20" s="2"/>
      <c r="F20" s="21"/>
      <c r="G20" s="11" t="s">
        <v>37</v>
      </c>
      <c r="H20" s="24" t="str">
        <f>IF(国保税の計算シート!I22="","",国保税の計算シート!I22)</f>
        <v/>
      </c>
      <c r="I20" s="25" t="str">
        <f>IF(H20="","",IF(H20&lt;430000,0,H20-430000))</f>
        <v/>
      </c>
      <c r="K20" s="14"/>
      <c r="L20" s="14" t="s">
        <v>40</v>
      </c>
      <c r="M20" s="14"/>
      <c r="N20" s="14"/>
      <c r="O20" s="14"/>
      <c r="P20" s="14"/>
      <c r="Q20" s="14"/>
    </row>
    <row r="21" spans="2:17" ht="5.0999999999999996" customHeight="1" x14ac:dyDescent="0.15">
      <c r="B21" s="2"/>
      <c r="C21" s="30"/>
      <c r="D21" s="2"/>
      <c r="E21" s="2"/>
      <c r="F21" s="21"/>
      <c r="G21" s="11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2:17" x14ac:dyDescent="0.15">
      <c r="B22" s="2"/>
      <c r="C22" s="17"/>
      <c r="D22" s="2"/>
      <c r="E22" s="2"/>
      <c r="F22" s="21"/>
      <c r="G22" s="1" t="s">
        <v>38</v>
      </c>
      <c r="H22" s="19">
        <f>COUNT(国保税の計算シート!I6:I20,8-"")</f>
        <v>0</v>
      </c>
      <c r="I22" s="14"/>
      <c r="J22" s="14"/>
      <c r="K22" s="43" t="s">
        <v>41</v>
      </c>
      <c r="L22" s="45">
        <f>COUNT(国保税の計算シート!I6:I20,9-"")</f>
        <v>0</v>
      </c>
      <c r="M22" s="14"/>
      <c r="N22" s="14"/>
      <c r="O22" s="14"/>
      <c r="P22" s="14"/>
      <c r="Q22" s="14"/>
    </row>
    <row r="23" spans="2:17" ht="5.0999999999999996" customHeight="1" x14ac:dyDescent="0.15">
      <c r="B23" s="2"/>
      <c r="C23" s="30"/>
      <c r="D23" s="2"/>
      <c r="E23" s="2"/>
      <c r="F23" s="21"/>
      <c r="G23" s="11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2:17" ht="14.25" customHeight="1" x14ac:dyDescent="0.15">
      <c r="B24" s="2"/>
      <c r="C24" s="30"/>
      <c r="D24" s="22"/>
      <c r="E24" s="2"/>
      <c r="F24" s="21"/>
      <c r="G24" s="11" t="s">
        <v>39</v>
      </c>
      <c r="H24" s="42">
        <f>SUM(I4:I18)</f>
        <v>0</v>
      </c>
      <c r="I24" s="41"/>
      <c r="J24" s="15"/>
      <c r="K24" s="43" t="s">
        <v>39</v>
      </c>
      <c r="L24" s="44">
        <f>SUM(H4:H20)</f>
        <v>0</v>
      </c>
      <c r="M24" s="14"/>
      <c r="N24" s="14"/>
      <c r="O24" s="14"/>
      <c r="P24" s="14"/>
      <c r="Q24" s="14"/>
    </row>
    <row r="25" spans="2:17" x14ac:dyDescent="0.15">
      <c r="B25" s="2"/>
      <c r="C25" s="17"/>
      <c r="D25" s="2"/>
      <c r="E25" s="2"/>
      <c r="F25" s="21"/>
      <c r="G25" s="1"/>
      <c r="H25" s="33"/>
      <c r="I25" s="14"/>
      <c r="J25" s="14"/>
      <c r="K25" s="14"/>
      <c r="L25" s="14"/>
      <c r="M25" s="14"/>
      <c r="N25" s="14"/>
      <c r="O25" s="14"/>
      <c r="P25" s="14"/>
      <c r="Q25" s="14"/>
    </row>
    <row r="26" spans="2:17" x14ac:dyDescent="0.15">
      <c r="B26" s="2"/>
      <c r="C26" s="17"/>
      <c r="D26" s="2"/>
      <c r="E26" s="2"/>
      <c r="F26" s="21"/>
      <c r="G26" s="1"/>
      <c r="H26" s="34" t="s">
        <v>18</v>
      </c>
      <c r="I26" s="14"/>
      <c r="J26" s="14"/>
      <c r="K26" s="14"/>
      <c r="L26" s="14"/>
      <c r="M26" s="14"/>
      <c r="N26" s="14"/>
      <c r="O26" s="14"/>
      <c r="P26" s="14"/>
      <c r="Q26" s="14"/>
    </row>
    <row r="27" spans="2:17" ht="9" customHeight="1" x14ac:dyDescent="0.15">
      <c r="B27" s="2"/>
      <c r="C27" s="17"/>
      <c r="D27" s="5"/>
      <c r="E27" s="2"/>
      <c r="F27" s="21"/>
      <c r="G27" s="1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2:17" x14ac:dyDescent="0.15">
      <c r="B28" s="2"/>
      <c r="C28" s="31"/>
      <c r="D28" s="22"/>
      <c r="E28" s="2"/>
      <c r="F28" s="21"/>
      <c r="G28" s="23" t="s">
        <v>14</v>
      </c>
      <c r="H28" s="26" t="str">
        <f>IF(国保税の計算シート!G6=Mstr!$L$73,国保税の計算シート!I6,"")</f>
        <v/>
      </c>
      <c r="I28" s="27" t="str">
        <f>IF(H28="","",IF(H28&lt;430000,0,H28-430000))</f>
        <v/>
      </c>
      <c r="J28" s="14"/>
      <c r="K28" s="14"/>
      <c r="L28" s="14"/>
      <c r="M28" s="14"/>
      <c r="N28" s="14"/>
      <c r="O28" s="14"/>
      <c r="P28" s="14"/>
      <c r="Q28" s="14"/>
    </row>
    <row r="29" spans="2:17" ht="5.0999999999999996" customHeight="1" x14ac:dyDescent="0.15">
      <c r="B29" s="2"/>
      <c r="C29" s="31"/>
      <c r="D29" s="2"/>
      <c r="E29" s="2"/>
      <c r="F29" s="21"/>
      <c r="G29" s="3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2:17" x14ac:dyDescent="0.15">
      <c r="B30" s="2"/>
      <c r="C30" s="31"/>
      <c r="D30" s="22"/>
      <c r="E30" s="2"/>
      <c r="F30" s="21"/>
      <c r="G30" s="3" t="s">
        <v>9</v>
      </c>
      <c r="H30" s="26" t="str">
        <f>IF(国保税の計算シート!G8=$L$73,国保税の計算シート!I8,"")</f>
        <v/>
      </c>
      <c r="I30" s="27" t="str">
        <f>IF(H30="","",IF(H30&lt;430000,0,H30-430000))</f>
        <v/>
      </c>
      <c r="J30" s="14"/>
      <c r="K30" s="14"/>
      <c r="L30" s="14"/>
      <c r="M30" s="14"/>
      <c r="N30" s="14"/>
      <c r="O30" s="14"/>
      <c r="P30" s="14"/>
      <c r="Q30" s="14"/>
    </row>
    <row r="31" spans="2:17" ht="5.0999999999999996" customHeight="1" x14ac:dyDescent="0.15">
      <c r="B31" s="2"/>
      <c r="C31" s="31"/>
      <c r="D31" s="2"/>
      <c r="E31" s="2"/>
      <c r="F31" s="21"/>
      <c r="G31" s="3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x14ac:dyDescent="0.15">
      <c r="B32" s="2"/>
      <c r="C32" s="31"/>
      <c r="D32" s="22"/>
      <c r="E32" s="2"/>
      <c r="F32" s="21"/>
      <c r="G32" s="3" t="s">
        <v>10</v>
      </c>
      <c r="H32" s="26" t="str">
        <f>IF(国保税の計算シート!G10=$L$73,国保税の計算シート!I10,"")</f>
        <v/>
      </c>
      <c r="I32" s="27" t="str">
        <f>IF(H32="","",IF(H32&lt;430000,0,H32-430000))</f>
        <v/>
      </c>
      <c r="J32" s="14"/>
      <c r="K32" s="14"/>
      <c r="L32" s="14"/>
      <c r="M32" s="14"/>
      <c r="N32" s="14"/>
      <c r="O32" s="14"/>
      <c r="P32" s="14"/>
      <c r="Q32" s="14"/>
    </row>
    <row r="33" spans="2:17" ht="5.0999999999999996" customHeight="1" x14ac:dyDescent="0.15">
      <c r="B33" s="2"/>
      <c r="C33" s="31"/>
      <c r="D33" s="2"/>
      <c r="E33" s="2"/>
      <c r="F33" s="21"/>
      <c r="G33" s="3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x14ac:dyDescent="0.15">
      <c r="B34" s="2"/>
      <c r="C34" s="31"/>
      <c r="D34" s="22"/>
      <c r="E34" s="2"/>
      <c r="F34" s="21"/>
      <c r="G34" s="3" t="s">
        <v>11</v>
      </c>
      <c r="H34" s="26" t="str">
        <f>IF(国保税の計算シート!G12=$L$73,国保税の計算シート!I12,"")</f>
        <v/>
      </c>
      <c r="I34" s="27" t="str">
        <f>IF(H34="","",IF(H34&lt;430000,0,H34-430000))</f>
        <v/>
      </c>
      <c r="J34" s="14"/>
      <c r="K34" s="14"/>
      <c r="L34" s="14"/>
      <c r="M34" s="14"/>
      <c r="N34" s="14"/>
      <c r="O34" s="14"/>
      <c r="P34" s="14"/>
      <c r="Q34" s="14"/>
    </row>
    <row r="35" spans="2:17" ht="5.0999999999999996" customHeight="1" x14ac:dyDescent="0.15">
      <c r="B35" s="2"/>
      <c r="C35" s="31"/>
      <c r="D35" s="2"/>
      <c r="E35" s="2"/>
      <c r="F35" s="21"/>
      <c r="G35" s="3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x14ac:dyDescent="0.15">
      <c r="B36" s="2"/>
      <c r="C36" s="31"/>
      <c r="D36" s="22"/>
      <c r="E36" s="2"/>
      <c r="F36" s="21"/>
      <c r="G36" s="3" t="s">
        <v>12</v>
      </c>
      <c r="H36" s="26" t="str">
        <f>IF(国保税の計算シート!G14=$L$73,国保税の計算シート!I14,"")</f>
        <v/>
      </c>
      <c r="I36" s="27" t="str">
        <f>IF(H36="","",IF(H36&lt;430000,0,H36-430000))</f>
        <v/>
      </c>
      <c r="J36" s="14"/>
      <c r="K36" s="14"/>
      <c r="L36" s="14"/>
      <c r="M36" s="14"/>
      <c r="N36" s="14"/>
      <c r="O36" s="14"/>
      <c r="P36" s="14"/>
      <c r="Q36" s="14"/>
    </row>
    <row r="37" spans="2:17" ht="5.0999999999999996" customHeight="1" x14ac:dyDescent="0.15">
      <c r="B37" s="2"/>
      <c r="C37" s="31"/>
      <c r="D37" s="2"/>
      <c r="E37" s="2"/>
      <c r="F37" s="21"/>
      <c r="G37" s="3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x14ac:dyDescent="0.15">
      <c r="B38" s="2"/>
      <c r="C38" s="31"/>
      <c r="D38" s="22"/>
      <c r="E38" s="2"/>
      <c r="F38" s="21"/>
      <c r="G38" s="3" t="s">
        <v>13</v>
      </c>
      <c r="H38" s="26" t="str">
        <f>IF(国保税の計算シート!G16=$L$73,国保税の計算シート!I16,"")</f>
        <v/>
      </c>
      <c r="I38" s="27" t="str">
        <f>IF(H38="","",IF(H38&lt;430000,0,H38-430000))</f>
        <v/>
      </c>
      <c r="K38" s="14"/>
      <c r="L38" s="14"/>
      <c r="M38" s="14"/>
      <c r="N38" s="14"/>
      <c r="O38" s="14"/>
      <c r="P38" s="14"/>
      <c r="Q38" s="14"/>
    </row>
    <row r="39" spans="2:17" ht="5.0999999999999996" customHeight="1" x14ac:dyDescent="0.15">
      <c r="B39" s="2"/>
      <c r="C39" s="31"/>
      <c r="D39" s="2"/>
      <c r="E39" s="2"/>
      <c r="F39" s="21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x14ac:dyDescent="0.15">
      <c r="B40" s="2"/>
      <c r="C40" s="31"/>
      <c r="D40" s="22"/>
      <c r="E40" s="2"/>
      <c r="F40" s="21"/>
      <c r="G40" s="23" t="s">
        <v>25</v>
      </c>
      <c r="H40" s="26" t="str">
        <f>IF(国保税の計算シート!G18=Mstr!$L$73,国保税の計算シート!I18,"")</f>
        <v/>
      </c>
      <c r="I40" s="27" t="str">
        <f>IF(H40="","",IF(H40&lt;430000,0,H40-430000))</f>
        <v/>
      </c>
      <c r="J40" s="14"/>
      <c r="K40" s="14"/>
      <c r="L40" s="14"/>
      <c r="M40" s="14"/>
      <c r="N40" s="14"/>
      <c r="O40" s="14"/>
      <c r="P40" s="14"/>
      <c r="Q40" s="14"/>
    </row>
    <row r="41" spans="2:17" ht="5.0999999999999996" customHeight="1" x14ac:dyDescent="0.15">
      <c r="B41" s="2"/>
      <c r="C41" s="31"/>
      <c r="D41" s="2"/>
      <c r="E41" s="2"/>
      <c r="F41" s="21"/>
      <c r="G41" s="3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x14ac:dyDescent="0.15">
      <c r="B42" s="2"/>
      <c r="C42" s="31"/>
      <c r="D42" s="22"/>
      <c r="E42" s="2"/>
      <c r="F42" s="21"/>
      <c r="G42" s="3" t="s">
        <v>22</v>
      </c>
      <c r="H42" s="26" t="str">
        <f>IF(国保税の計算シート!G20=$L$73,国保税の計算シート!I20,"")</f>
        <v/>
      </c>
      <c r="I42" s="27" t="str">
        <f>IF(H42="","",IF(H42&lt;430000,0,H42-430000))</f>
        <v/>
      </c>
      <c r="J42" s="14"/>
      <c r="K42" s="14"/>
      <c r="L42" s="14"/>
      <c r="M42" s="14"/>
      <c r="N42" s="14"/>
      <c r="O42" s="14"/>
      <c r="P42" s="14"/>
      <c r="Q42" s="14"/>
    </row>
    <row r="43" spans="2:17" ht="5.0999999999999996" customHeight="1" x14ac:dyDescent="0.15">
      <c r="B43" s="2"/>
      <c r="C43" s="31"/>
      <c r="D43" s="2"/>
      <c r="E43" s="2"/>
      <c r="F43" s="21"/>
      <c r="G43" s="3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x14ac:dyDescent="0.15">
      <c r="B44" s="2"/>
      <c r="C44" s="31"/>
      <c r="D44" s="22"/>
      <c r="E44" s="2"/>
      <c r="F44" s="21"/>
      <c r="G44" s="3" t="s">
        <v>43</v>
      </c>
      <c r="H44" s="20">
        <f>COUNT(H28:H42,8-"")</f>
        <v>0</v>
      </c>
      <c r="I44" s="41"/>
      <c r="J44" s="15"/>
      <c r="K44" s="14"/>
      <c r="L44" s="14"/>
      <c r="M44" s="14"/>
      <c r="N44" s="14"/>
      <c r="O44" s="14"/>
      <c r="P44" s="14"/>
      <c r="Q44" s="14"/>
    </row>
    <row r="45" spans="2:17" ht="5.0999999999999996" customHeight="1" x14ac:dyDescent="0.15">
      <c r="B45" s="2"/>
      <c r="C45" s="31"/>
      <c r="D45" s="2"/>
      <c r="E45" s="2"/>
      <c r="F45" s="21"/>
      <c r="G45" s="3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17" x14ac:dyDescent="0.15">
      <c r="B46" s="2"/>
      <c r="C46" s="31"/>
      <c r="D46" s="2"/>
      <c r="E46" s="2"/>
      <c r="F46" s="21"/>
      <c r="G46" s="118" t="s">
        <v>42</v>
      </c>
      <c r="H46" s="46">
        <f>SUM(I28:I42)</f>
        <v>0</v>
      </c>
      <c r="I46" s="14"/>
      <c r="J46" s="14"/>
      <c r="K46" s="14"/>
      <c r="L46" s="14"/>
      <c r="M46" s="14"/>
      <c r="N46" s="14"/>
      <c r="O46" s="14"/>
      <c r="P46" s="14"/>
      <c r="Q46" s="14"/>
    </row>
    <row r="47" spans="2:17" x14ac:dyDescent="0.15">
      <c r="D47" s="2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2:17" x14ac:dyDescent="0.15">
      <c r="B48" s="2"/>
      <c r="C48" s="17"/>
      <c r="D48" s="2"/>
      <c r="E48" s="2"/>
      <c r="F48" s="21"/>
      <c r="G48" s="1"/>
      <c r="H48" s="34" t="s">
        <v>79</v>
      </c>
      <c r="I48" s="14"/>
      <c r="J48" s="14"/>
      <c r="K48" s="14"/>
      <c r="L48" s="14"/>
      <c r="M48" s="14"/>
      <c r="N48" s="14"/>
      <c r="O48" s="14"/>
      <c r="P48" s="14"/>
      <c r="Q48" s="14"/>
    </row>
    <row r="49" spans="2:17" ht="9" customHeight="1" x14ac:dyDescent="0.15">
      <c r="B49" s="2"/>
      <c r="C49" s="17"/>
      <c r="D49" s="5"/>
      <c r="E49" s="2"/>
      <c r="F49" s="21"/>
      <c r="G49" s="1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2:17" x14ac:dyDescent="0.15">
      <c r="B50" s="2"/>
      <c r="C50" s="31"/>
      <c r="D50" s="22"/>
      <c r="E50" s="2"/>
      <c r="F50" s="21"/>
      <c r="G50" s="23" t="s">
        <v>14</v>
      </c>
      <c r="H50" s="115" t="str">
        <f>IF(AND(国保税の計算シート!G6&lt;&gt;Mstr!$L$71,国保税の計算シート!G6&lt;&gt;""),国保税の計算シート!I6,"")</f>
        <v/>
      </c>
      <c r="I50" s="114" t="str">
        <f>IF(H50="","",IF(H50&lt;430000,0,H50-430000))</f>
        <v/>
      </c>
      <c r="J50" s="14"/>
      <c r="K50" s="14"/>
      <c r="L50" s="14"/>
      <c r="M50" s="14"/>
      <c r="N50" s="14"/>
      <c r="O50" s="14"/>
      <c r="P50" s="14"/>
      <c r="Q50" s="14"/>
    </row>
    <row r="51" spans="2:17" ht="5.0999999999999996" customHeight="1" x14ac:dyDescent="0.15">
      <c r="B51" s="2"/>
      <c r="C51" s="31"/>
      <c r="D51" s="2"/>
      <c r="E51" s="2"/>
      <c r="F51" s="21"/>
      <c r="G51" s="3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2:17" x14ac:dyDescent="0.15">
      <c r="B52" s="2"/>
      <c r="C52" s="31"/>
      <c r="D52" s="22"/>
      <c r="E52" s="2"/>
      <c r="F52" s="21"/>
      <c r="G52" s="3" t="s">
        <v>9</v>
      </c>
      <c r="H52" s="115" t="str">
        <f>IF(AND(国保税の計算シート!G8&lt;&gt;Mstr!$L$71,国保税の計算シート!G8&lt;&gt;""),国保税の計算シート!I8,"")</f>
        <v/>
      </c>
      <c r="I52" s="114" t="str">
        <f>IF(H52="","",IF(H52&lt;430000,0,H52-430000))</f>
        <v/>
      </c>
      <c r="J52" s="14"/>
      <c r="K52" s="14"/>
      <c r="L52" s="14"/>
      <c r="M52" s="14"/>
      <c r="N52" s="14"/>
      <c r="O52" s="14"/>
      <c r="P52" s="14"/>
      <c r="Q52" s="14"/>
    </row>
    <row r="53" spans="2:17" ht="5.0999999999999996" customHeight="1" x14ac:dyDescent="0.15">
      <c r="B53" s="2"/>
      <c r="C53" s="31"/>
      <c r="D53" s="2"/>
      <c r="E53" s="2"/>
      <c r="F53" s="21"/>
      <c r="G53" s="3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2:17" x14ac:dyDescent="0.15">
      <c r="B54" s="2"/>
      <c r="C54" s="31"/>
      <c r="D54" s="22"/>
      <c r="E54" s="2"/>
      <c r="F54" s="21"/>
      <c r="G54" s="3" t="s">
        <v>10</v>
      </c>
      <c r="H54" s="115" t="str">
        <f>IF(AND(国保税の計算シート!G10&lt;&gt;Mstr!$L$71,国保税の計算シート!G10&lt;&gt;""),国保税の計算シート!I10,"")</f>
        <v/>
      </c>
      <c r="I54" s="114" t="str">
        <f>IF(H54="","",IF(H54&lt;430000,0,H54-430000))</f>
        <v/>
      </c>
      <c r="J54" s="14"/>
      <c r="K54" s="14"/>
      <c r="L54" s="14"/>
      <c r="M54" s="14"/>
      <c r="N54" s="14"/>
      <c r="O54" s="14"/>
      <c r="P54" s="14"/>
      <c r="Q54" s="14"/>
    </row>
    <row r="55" spans="2:17" ht="5.0999999999999996" customHeight="1" x14ac:dyDescent="0.15">
      <c r="B55" s="2"/>
      <c r="C55" s="31"/>
      <c r="D55" s="2"/>
      <c r="E55" s="2"/>
      <c r="F55" s="21"/>
      <c r="G55" s="3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2:17" x14ac:dyDescent="0.15">
      <c r="B56" s="2"/>
      <c r="C56" s="31"/>
      <c r="D56" s="22"/>
      <c r="E56" s="2"/>
      <c r="F56" s="21"/>
      <c r="G56" s="3" t="s">
        <v>11</v>
      </c>
      <c r="H56" s="115" t="str">
        <f>IF(AND(国保税の計算シート!G12&lt;&gt;Mstr!$L$71,国保税の計算シート!G12&lt;&gt;""),国保税の計算シート!I12,"")</f>
        <v/>
      </c>
      <c r="I56" s="114" t="str">
        <f>IF(H56="","",IF(H56&lt;430000,0,H56-430000))</f>
        <v/>
      </c>
      <c r="J56" s="14"/>
      <c r="K56" s="14"/>
      <c r="L56" s="14"/>
      <c r="M56" s="14"/>
      <c r="N56" s="14"/>
      <c r="O56" s="14"/>
      <c r="P56" s="14"/>
      <c r="Q56" s="14"/>
    </row>
    <row r="57" spans="2:17" ht="5.0999999999999996" customHeight="1" x14ac:dyDescent="0.15">
      <c r="B57" s="2"/>
      <c r="C57" s="31"/>
      <c r="D57" s="2"/>
      <c r="E57" s="2"/>
      <c r="F57" s="21"/>
      <c r="G57" s="3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2:17" x14ac:dyDescent="0.15">
      <c r="B58" s="2"/>
      <c r="C58" s="31"/>
      <c r="D58" s="22"/>
      <c r="E58" s="2"/>
      <c r="F58" s="21"/>
      <c r="G58" s="3" t="s">
        <v>12</v>
      </c>
      <c r="H58" s="115" t="str">
        <f>IF(AND(国保税の計算シート!G14&lt;&gt;Mstr!$L$71,国保税の計算シート!G14&lt;&gt;""),国保税の計算シート!I14,"")</f>
        <v/>
      </c>
      <c r="I58" s="114" t="str">
        <f>IF(H58="","",IF(H58&lt;430000,0,H58-430000))</f>
        <v/>
      </c>
      <c r="J58" s="14"/>
      <c r="K58" s="14"/>
      <c r="L58" s="14"/>
      <c r="M58" s="14"/>
      <c r="N58" s="14"/>
      <c r="O58" s="14"/>
      <c r="P58" s="14"/>
      <c r="Q58" s="14"/>
    </row>
    <row r="59" spans="2:17" ht="5.0999999999999996" customHeight="1" x14ac:dyDescent="0.15">
      <c r="B59" s="2"/>
      <c r="C59" s="31"/>
      <c r="D59" s="2"/>
      <c r="E59" s="2"/>
      <c r="F59" s="21"/>
      <c r="G59" s="3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2:17" x14ac:dyDescent="0.15">
      <c r="B60" s="2"/>
      <c r="C60" s="31"/>
      <c r="D60" s="22"/>
      <c r="E60" s="2"/>
      <c r="F60" s="21"/>
      <c r="G60" s="3" t="s">
        <v>13</v>
      </c>
      <c r="H60" s="115" t="str">
        <f>IF(AND(国保税の計算シート!G16&lt;&gt;Mstr!$L$71,国保税の計算シート!G16&lt;&gt;""),国保税の計算シート!I16,"")</f>
        <v/>
      </c>
      <c r="I60" s="114" t="str">
        <f>IF(H60="","",IF(H60&lt;430000,0,H60-430000))</f>
        <v/>
      </c>
      <c r="K60" s="14"/>
      <c r="L60" s="14"/>
      <c r="M60" s="14"/>
      <c r="N60" s="14"/>
      <c r="O60" s="14"/>
      <c r="P60" s="14"/>
      <c r="Q60" s="14"/>
    </row>
    <row r="61" spans="2:17" ht="5.0999999999999996" customHeight="1" x14ac:dyDescent="0.15">
      <c r="B61" s="2"/>
      <c r="C61" s="31"/>
      <c r="D61" s="2"/>
      <c r="E61" s="2"/>
      <c r="F61" s="21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2:17" x14ac:dyDescent="0.15">
      <c r="B62" s="2"/>
      <c r="C62" s="31"/>
      <c r="D62" s="22"/>
      <c r="E62" s="2"/>
      <c r="F62" s="21"/>
      <c r="G62" s="23" t="s">
        <v>25</v>
      </c>
      <c r="H62" s="115" t="str">
        <f>IF(AND(国保税の計算シート!G18&lt;&gt;Mstr!$L$71,国保税の計算シート!G18&lt;&gt;""),国保税の計算シート!I18,"")</f>
        <v/>
      </c>
      <c r="I62" s="114" t="str">
        <f>IF(H62="","",IF(H62&lt;430000,0,H62-430000))</f>
        <v/>
      </c>
      <c r="J62" s="14"/>
      <c r="K62" s="14"/>
      <c r="L62" s="14"/>
      <c r="M62" s="14"/>
      <c r="N62" s="14"/>
      <c r="O62" s="14"/>
      <c r="P62" s="14"/>
      <c r="Q62" s="14"/>
    </row>
    <row r="63" spans="2:17" ht="5.0999999999999996" customHeight="1" x14ac:dyDescent="0.15">
      <c r="B63" s="2"/>
      <c r="C63" s="31"/>
      <c r="D63" s="2"/>
      <c r="E63" s="2"/>
      <c r="F63" s="21"/>
      <c r="G63" s="3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2:17" x14ac:dyDescent="0.15">
      <c r="B64" s="2"/>
      <c r="C64" s="31"/>
      <c r="D64" s="22"/>
      <c r="E64" s="2"/>
      <c r="F64" s="21"/>
      <c r="G64" s="3" t="s">
        <v>22</v>
      </c>
      <c r="H64" s="115" t="str">
        <f>IF(AND(国保税の計算シート!G20&lt;&gt;Mstr!$L$71,国保税の計算シート!G20&lt;&gt;""),国保税の計算シート!I20,"")</f>
        <v/>
      </c>
      <c r="I64" s="114" t="str">
        <f>IF(H64="","",IF(H64&lt;430000,0,H64-430000))</f>
        <v/>
      </c>
      <c r="J64" s="14"/>
      <c r="K64" s="14"/>
      <c r="L64" s="14"/>
      <c r="M64" s="14"/>
      <c r="N64" s="14"/>
      <c r="O64" s="14"/>
      <c r="P64" s="14"/>
      <c r="Q64" s="14"/>
    </row>
    <row r="65" spans="1:18" ht="5.0999999999999996" customHeight="1" x14ac:dyDescent="0.15">
      <c r="B65" s="2"/>
      <c r="C65" s="31"/>
      <c r="D65" s="2"/>
      <c r="E65" s="2"/>
      <c r="F65" s="21"/>
      <c r="G65" s="3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1:18" x14ac:dyDescent="0.15">
      <c r="B66" s="2"/>
      <c r="C66" s="31"/>
      <c r="D66" s="22"/>
      <c r="E66" s="2"/>
      <c r="F66" s="21"/>
      <c r="G66" s="3" t="s">
        <v>80</v>
      </c>
      <c r="H66" s="116">
        <f>COUNT(H50:H64,8-"")</f>
        <v>0</v>
      </c>
      <c r="I66" s="41"/>
      <c r="J66" s="15"/>
      <c r="K66" s="14"/>
      <c r="L66" s="14"/>
      <c r="M66" s="14"/>
      <c r="N66" s="14"/>
      <c r="O66" s="14"/>
      <c r="P66" s="14"/>
      <c r="Q66" s="14"/>
    </row>
    <row r="67" spans="1:18" ht="5.0999999999999996" customHeight="1" x14ac:dyDescent="0.15">
      <c r="B67" s="2"/>
      <c r="C67" s="31"/>
      <c r="D67" s="2"/>
      <c r="E67" s="2"/>
      <c r="F67" s="21"/>
      <c r="G67" s="3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1:18" x14ac:dyDescent="0.15">
      <c r="B68" s="2"/>
      <c r="C68" s="31"/>
      <c r="D68" s="2"/>
      <c r="E68" s="2"/>
      <c r="F68" s="21"/>
      <c r="G68" s="118" t="s">
        <v>81</v>
      </c>
      <c r="H68" s="117">
        <f>SUM(I50:I64)</f>
        <v>0</v>
      </c>
      <c r="I68" s="14"/>
      <c r="J68" s="14"/>
      <c r="K68" s="14"/>
      <c r="L68" s="14"/>
      <c r="M68" s="14"/>
      <c r="N68" s="14"/>
      <c r="O68" s="14"/>
      <c r="P68" s="14"/>
      <c r="Q68" s="14"/>
    </row>
    <row r="69" spans="1:18" x14ac:dyDescent="0.15">
      <c r="D69" s="2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1:18" x14ac:dyDescent="0.15">
      <c r="B70" s="13"/>
      <c r="C70" s="146"/>
      <c r="D70" s="146"/>
      <c r="F70" s="14"/>
      <c r="G70" s="14"/>
      <c r="H70" s="14"/>
      <c r="I70" s="14"/>
      <c r="J70" s="14"/>
      <c r="K70" s="14"/>
      <c r="L70" s="39"/>
      <c r="M70" s="14"/>
      <c r="N70" s="14"/>
      <c r="O70" s="14"/>
      <c r="P70" s="14"/>
      <c r="Q70" s="14"/>
    </row>
    <row r="71" spans="1:18" x14ac:dyDescent="0.15">
      <c r="B71" s="13"/>
      <c r="C71" s="110"/>
      <c r="D71" s="110"/>
      <c r="F71" s="14"/>
      <c r="G71" s="14"/>
      <c r="H71" s="14"/>
      <c r="I71" s="14"/>
      <c r="J71" s="14"/>
      <c r="K71" s="14"/>
      <c r="L71" s="39" t="s">
        <v>84</v>
      </c>
      <c r="M71" s="14"/>
      <c r="N71" s="14"/>
      <c r="O71" s="14"/>
      <c r="P71" s="14"/>
      <c r="Q71" s="14"/>
    </row>
    <row r="72" spans="1:18" x14ac:dyDescent="0.15">
      <c r="B72" s="13"/>
      <c r="C72" s="48"/>
      <c r="D72" s="49"/>
      <c r="F72" s="14"/>
      <c r="G72" s="14"/>
      <c r="H72" s="14"/>
      <c r="I72" s="14"/>
      <c r="J72" s="14"/>
      <c r="K72" s="14"/>
      <c r="L72" s="39" t="s">
        <v>82</v>
      </c>
      <c r="M72" s="14"/>
      <c r="N72" s="14"/>
      <c r="O72" s="14"/>
      <c r="P72" s="14"/>
      <c r="Q72" s="14"/>
    </row>
    <row r="73" spans="1:18" x14ac:dyDescent="0.15">
      <c r="A73" s="12"/>
      <c r="B73" s="13"/>
      <c r="C73" s="13"/>
      <c r="D73" s="49"/>
      <c r="F73" s="14"/>
      <c r="G73" s="14"/>
      <c r="H73" s="14"/>
      <c r="I73" s="14"/>
      <c r="J73" s="14"/>
      <c r="K73" s="14"/>
      <c r="L73" s="39" t="s">
        <v>15</v>
      </c>
      <c r="M73" s="14"/>
      <c r="N73" s="14"/>
      <c r="O73" s="14"/>
      <c r="P73" s="14"/>
      <c r="Q73" s="14"/>
    </row>
    <row r="74" spans="1:18" x14ac:dyDescent="0.15">
      <c r="A74" s="12"/>
      <c r="B74" s="13"/>
      <c r="C74" s="13"/>
      <c r="D74" s="49"/>
      <c r="F74" s="14"/>
      <c r="G74" s="14"/>
      <c r="H74" s="51" t="s">
        <v>33</v>
      </c>
      <c r="I74" s="51" t="s">
        <v>34</v>
      </c>
      <c r="J74" s="51" t="s">
        <v>35</v>
      </c>
      <c r="K74" s="14" t="s">
        <v>85</v>
      </c>
      <c r="L74" s="39" t="s">
        <v>16</v>
      </c>
      <c r="M74" s="14"/>
      <c r="N74" s="14"/>
      <c r="O74" s="14"/>
      <c r="P74" s="14"/>
      <c r="Q74" s="14"/>
    </row>
    <row r="75" spans="1:18" x14ac:dyDescent="0.15">
      <c r="A75" s="12"/>
      <c r="B75" s="13"/>
      <c r="C75" s="13"/>
      <c r="D75" s="49"/>
      <c r="F75" s="16"/>
      <c r="G75" s="50" t="s">
        <v>47</v>
      </c>
      <c r="H75" s="15">
        <f>SUM(国保税の計算シート!D29:D31)</f>
        <v>0</v>
      </c>
      <c r="I75" s="15">
        <f>SUM(国保税の計算シート!I29:I30)</f>
        <v>0</v>
      </c>
      <c r="J75" s="15">
        <f>SUM(国保税の計算シート!L29:L30)</f>
        <v>0</v>
      </c>
      <c r="K75" s="15">
        <f>SUM(国保税の計算シート!O29:O30)</f>
        <v>0</v>
      </c>
      <c r="L75" s="14"/>
      <c r="M75" s="14"/>
      <c r="N75" s="14"/>
      <c r="O75" s="14"/>
      <c r="P75" s="14"/>
      <c r="Q75" s="14"/>
    </row>
    <row r="76" spans="1:18" x14ac:dyDescent="0.15">
      <c r="B76" s="6"/>
      <c r="C76" s="2"/>
      <c r="D76" s="47"/>
      <c r="F76" s="14"/>
      <c r="G76" s="50" t="s">
        <v>48</v>
      </c>
      <c r="H76" s="58">
        <f>ROUNDDOWN(H75/100,0)*100</f>
        <v>0</v>
      </c>
      <c r="I76" s="58">
        <f>ROUNDDOWN(I75/100,0)*100</f>
        <v>0</v>
      </c>
      <c r="J76" s="14">
        <f>ROUNDDOWN(J75/100,0)*100</f>
        <v>0</v>
      </c>
      <c r="K76" s="14">
        <f>ROUNDDOWN(K75/100,0)*100</f>
        <v>0</v>
      </c>
      <c r="L76" s="14"/>
      <c r="M76" s="14"/>
      <c r="N76" s="14"/>
      <c r="O76" s="14"/>
      <c r="P76" s="14"/>
      <c r="Q76" s="14"/>
    </row>
    <row r="77" spans="1:18" ht="14.25" thickBot="1" x14ac:dyDescent="0.2">
      <c r="F77" s="14"/>
      <c r="G77" s="14"/>
      <c r="H77" s="14"/>
      <c r="I77" s="14"/>
      <c r="J77" s="14"/>
      <c r="K77" s="14"/>
      <c r="L77" s="14"/>
      <c r="M77" s="53" t="s">
        <v>26</v>
      </c>
      <c r="N77" s="53" t="s">
        <v>36</v>
      </c>
      <c r="O77" s="53" t="s">
        <v>27</v>
      </c>
      <c r="P77" s="53" t="s">
        <v>83</v>
      </c>
      <c r="Q77" s="53" t="s">
        <v>28</v>
      </c>
      <c r="R77" s="40"/>
    </row>
    <row r="78" spans="1:18" ht="14.25" thickBot="1" x14ac:dyDescent="0.2">
      <c r="F78" s="14"/>
      <c r="G78" s="14"/>
      <c r="H78" s="14"/>
      <c r="I78" s="14"/>
      <c r="J78" s="14"/>
      <c r="K78" s="14"/>
      <c r="L78" s="14" t="s">
        <v>29</v>
      </c>
      <c r="M78" s="57">
        <f>ROUNDDOWN(21000*H22,0)</f>
        <v>0</v>
      </c>
      <c r="N78" s="56">
        <f>ROUNDDOWN(13400*H22,0)</f>
        <v>0</v>
      </c>
      <c r="O78" s="56">
        <f>ROUNDDOWN(15500*H44,0)</f>
        <v>0</v>
      </c>
      <c r="P78" s="12">
        <f>ROUNDDOWN(1800*H66,0)</f>
        <v>0</v>
      </c>
      <c r="Q78" s="54">
        <v>20800</v>
      </c>
      <c r="R78" s="122"/>
    </row>
    <row r="79" spans="1:18" ht="18" x14ac:dyDescent="0.15">
      <c r="F79" s="14"/>
      <c r="G79" s="1" t="s">
        <v>7</v>
      </c>
      <c r="H79" s="10">
        <f>IF(国保税の計算シート!D32+国保税の計算シート!I32+国保税の計算シート!L32+国保税の計算シート!O32&lt;=6240,0,ROUNDDOWN(国保税の計算シート!D32+国保税の計算シート!I32+国保税の計算シート!L32+国保税の計算シート!O32,-2))</f>
        <v>0</v>
      </c>
      <c r="I79" s="2" t="s">
        <v>0</v>
      </c>
      <c r="J79" s="65" t="str">
        <f>IF(K88="該当",N88,IF(K89="該当",N89,IF(K90="該当",N90,"軽減なし")))</f>
        <v>７割軽減該当</v>
      </c>
      <c r="K79" s="14"/>
      <c r="L79" s="14" t="s">
        <v>30</v>
      </c>
      <c r="M79" s="14">
        <f>ROUNDDOWN(M78*0.3,0)</f>
        <v>0</v>
      </c>
      <c r="N79" s="14">
        <f>ROUNDDOWN(N78*0.3,0)</f>
        <v>0</v>
      </c>
      <c r="O79" s="40">
        <f>ROUNDDOWN(O78*0.3,0)</f>
        <v>0</v>
      </c>
      <c r="P79" s="124">
        <f>ROUNDDOWN(P78*0.3,0)</f>
        <v>0</v>
      </c>
      <c r="Q79" s="120">
        <v>6240</v>
      </c>
      <c r="R79" s="123"/>
    </row>
    <row r="80" spans="1:18" ht="18" x14ac:dyDescent="0.15">
      <c r="F80" s="14"/>
      <c r="G80" s="1"/>
      <c r="H80" s="4"/>
      <c r="I80" s="2"/>
      <c r="J80" s="14"/>
      <c r="K80" s="14"/>
      <c r="L80" s="14" t="s">
        <v>31</v>
      </c>
      <c r="M80" s="14">
        <f>ROUNDDOWN(M78*0.5,0)</f>
        <v>0</v>
      </c>
      <c r="N80" s="14">
        <f>ROUNDDOWN(N78*0.5,0)</f>
        <v>0</v>
      </c>
      <c r="O80" s="40">
        <f>ROUNDDOWN(O78*0.5,0)</f>
        <v>0</v>
      </c>
      <c r="P80" s="55">
        <f>ROUNDDOWN(P78*0.5,0)</f>
        <v>0</v>
      </c>
      <c r="Q80" s="120">
        <v>10400</v>
      </c>
      <c r="R80" s="123"/>
    </row>
    <row r="81" spans="6:18" ht="18.75" thickBot="1" x14ac:dyDescent="0.2">
      <c r="F81" s="14"/>
      <c r="G81" s="1" t="s">
        <v>8</v>
      </c>
      <c r="H81" s="10">
        <f>IF(H79/12&lt;=520,0,ROUNDDOWN(H79/12,0))</f>
        <v>0</v>
      </c>
      <c r="I81" s="2" t="s">
        <v>0</v>
      </c>
      <c r="J81" s="65" t="str">
        <f>IF(国保税の計算シート!I6="","",Mstr!J79)</f>
        <v/>
      </c>
      <c r="K81" s="14"/>
      <c r="L81" s="14" t="s">
        <v>32</v>
      </c>
      <c r="M81" s="14">
        <f>ROUNDDOWN(M78*0.8,0)</f>
        <v>0</v>
      </c>
      <c r="N81" s="14">
        <f>ROUNDDOWN(N78*0.8,0)</f>
        <v>0</v>
      </c>
      <c r="O81" s="40">
        <f>ROUNDDOWN(O78*0.8,0)</f>
        <v>0</v>
      </c>
      <c r="P81" s="55">
        <f>ROUNDDOWN(P78*0.8,0)</f>
        <v>0</v>
      </c>
      <c r="Q81" s="121">
        <v>16640</v>
      </c>
      <c r="R81" s="123"/>
    </row>
    <row r="82" spans="6:18" x14ac:dyDescent="0.15"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6:18" x14ac:dyDescent="0.15">
      <c r="F83" s="14"/>
      <c r="G83" s="14"/>
      <c r="H83" s="14"/>
      <c r="I83" s="14"/>
      <c r="J83" s="14"/>
      <c r="K83" s="14"/>
      <c r="L83" s="14" t="s">
        <v>68</v>
      </c>
      <c r="M83" s="49">
        <f>VLOOKUP(Mstr!J79,Mstr!$L$77:$R$81,2,FALSE)</f>
        <v>0</v>
      </c>
      <c r="N83" s="49">
        <f>VLOOKUP(Mstr!$J$79,Mstr!$L$77:$R$81,3,FALSE)</f>
        <v>0</v>
      </c>
      <c r="O83" s="49">
        <f>VLOOKUP(Mstr!$J$79,Mstr!$L$77:$R$81,4,FALSE)</f>
        <v>0</v>
      </c>
      <c r="P83" s="49">
        <f>VLOOKUP(Mstr!$J$79,Mstr!$L$77:$R$81,5,FALSE)</f>
        <v>0</v>
      </c>
      <c r="Q83" s="14"/>
    </row>
    <row r="84" spans="6:18" x14ac:dyDescent="0.15">
      <c r="F84" s="14"/>
      <c r="G84" s="14"/>
      <c r="H84" s="14"/>
      <c r="I84" s="14"/>
      <c r="J84" s="14"/>
      <c r="K84" s="14"/>
      <c r="L84" s="14" t="s">
        <v>67</v>
      </c>
      <c r="M84" s="49">
        <f>M95*(P95*0.1)*K95</f>
        <v>0</v>
      </c>
      <c r="N84" s="49">
        <f>N95*(P95*0.1)*K95</f>
        <v>0</v>
      </c>
      <c r="O84" s="49"/>
      <c r="P84" s="49">
        <f>P95*(O95*0.1)*K95</f>
        <v>0</v>
      </c>
      <c r="Q84" s="14"/>
    </row>
    <row r="85" spans="6:18" x14ac:dyDescent="0.15">
      <c r="F85" s="14"/>
      <c r="G85" s="14"/>
      <c r="H85" s="14"/>
      <c r="I85" s="14"/>
      <c r="J85" s="14"/>
      <c r="K85" s="14"/>
      <c r="L85" s="14"/>
      <c r="M85" s="73">
        <f>M83-M84</f>
        <v>0</v>
      </c>
      <c r="N85" s="73">
        <f>N83-N84</f>
        <v>0</v>
      </c>
      <c r="O85" s="73">
        <f>O83</f>
        <v>0</v>
      </c>
      <c r="P85" s="73">
        <f>P83-P84</f>
        <v>0</v>
      </c>
      <c r="Q85" s="14"/>
    </row>
    <row r="86" spans="6:18" x14ac:dyDescent="0.15">
      <c r="F86" s="14"/>
      <c r="G86" s="14"/>
      <c r="H86" s="14"/>
      <c r="I86" s="14"/>
      <c r="J86" s="14" t="s">
        <v>69</v>
      </c>
      <c r="K86" s="14"/>
      <c r="L86" s="14"/>
      <c r="M86" s="14"/>
      <c r="N86" s="14"/>
      <c r="O86" s="40"/>
      <c r="P86" s="40"/>
      <c r="Q86" s="14"/>
    </row>
    <row r="87" spans="6:18" ht="29.25" customHeight="1" x14ac:dyDescent="0.15">
      <c r="F87" s="14"/>
      <c r="G87" s="52"/>
      <c r="H87" s="52"/>
      <c r="I87" s="14"/>
      <c r="K87" s="14" t="s">
        <v>56</v>
      </c>
      <c r="L87" s="14" t="s">
        <v>54</v>
      </c>
      <c r="M87" s="14" t="s">
        <v>53</v>
      </c>
      <c r="N87" s="14" t="s">
        <v>55</v>
      </c>
      <c r="O87" s="119" t="s">
        <v>66</v>
      </c>
      <c r="P87" s="119"/>
      <c r="Q87" s="14"/>
    </row>
    <row r="88" spans="6:18" x14ac:dyDescent="0.15">
      <c r="K88" s="66" t="str">
        <f>IF(L88&gt;=M88,"該当","")</f>
        <v>該当</v>
      </c>
      <c r="L88" s="60">
        <f>430000+100000*IF(国保税の計算シート!I24&lt;1,0,国保税の計算シート!I24-1)</f>
        <v>430000</v>
      </c>
      <c r="M88" s="64">
        <f>$L$24</f>
        <v>0</v>
      </c>
      <c r="N88" s="63" t="s">
        <v>30</v>
      </c>
      <c r="O88" s="7">
        <v>1.5</v>
      </c>
      <c r="P88" s="7"/>
    </row>
    <row r="89" spans="6:18" x14ac:dyDescent="0.15">
      <c r="K89" s="66" t="str">
        <f t="shared" ref="K89:K90" si="0">IF(L89&gt;=M89,"該当","")</f>
        <v>該当</v>
      </c>
      <c r="L89" s="61">
        <f>430000+(310000*L22)+100000*IF(国保税の計算シート!I24&lt;1,0,国保税の計算シート!I24-1)</f>
        <v>430000</v>
      </c>
      <c r="M89" s="64">
        <f t="shared" ref="M89:M90" si="1">$L$24</f>
        <v>0</v>
      </c>
      <c r="N89" s="63" t="s">
        <v>31</v>
      </c>
      <c r="O89" s="7">
        <v>2.5</v>
      </c>
      <c r="P89" s="7"/>
    </row>
    <row r="90" spans="6:18" x14ac:dyDescent="0.15">
      <c r="K90" s="66" t="str">
        <f t="shared" si="0"/>
        <v>該当</v>
      </c>
      <c r="L90" s="62">
        <f>430000+(570000*L22)+100000*IF(国保税の計算シート!I24&lt;1,0,国保税の計算シート!I24-1)</f>
        <v>430000</v>
      </c>
      <c r="M90" s="64">
        <f t="shared" si="1"/>
        <v>0</v>
      </c>
      <c r="N90" s="63" t="s">
        <v>32</v>
      </c>
      <c r="O90" s="32">
        <v>4</v>
      </c>
      <c r="P90" s="32"/>
    </row>
    <row r="93" spans="6:18" x14ac:dyDescent="0.15">
      <c r="J93" t="s">
        <v>61</v>
      </c>
    </row>
    <row r="94" spans="6:18" ht="14.25" thickBot="1" x14ac:dyDescent="0.2">
      <c r="K94" t="s">
        <v>64</v>
      </c>
      <c r="M94" t="s">
        <v>62</v>
      </c>
      <c r="N94" t="s">
        <v>63</v>
      </c>
      <c r="O94" t="s">
        <v>90</v>
      </c>
      <c r="P94" t="s">
        <v>65</v>
      </c>
    </row>
    <row r="95" spans="6:18" ht="14.25" thickBot="1" x14ac:dyDescent="0.2">
      <c r="K95">
        <f>国保税の計算シート!I26</f>
        <v>0</v>
      </c>
      <c r="M95" s="57">
        <v>21000</v>
      </c>
      <c r="N95" s="56">
        <v>13400</v>
      </c>
      <c r="O95" s="72">
        <v>1800</v>
      </c>
      <c r="P95">
        <f>IF(K88="該当",O88,IF(K89="該当",O89,IF(K90="該当",O90,5)))</f>
        <v>1.5</v>
      </c>
    </row>
    <row r="113" spans="6:6" x14ac:dyDescent="0.15">
      <c r="F113" s="2"/>
    </row>
  </sheetData>
  <protectedRanges>
    <protectedRange sqref="D38 D36 D34 D32 D30 D28 D44 D42 D40 D60 D58 D56 D54 D52 D50 D66 D64 D62" name="D4、D6、D8、D10"/>
    <protectedRange sqref="H22 H25:H26 L22 H48" name="D4、D6、D8、D10_1"/>
  </protectedRanges>
  <mergeCells count="1">
    <mergeCell ref="C70:D70"/>
  </mergeCells>
  <phoneticPr fontId="1"/>
  <pageMargins left="0.7" right="0.7" top="0.75" bottom="0.75" header="0.3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国保税の計算シート</vt:lpstr>
      <vt:lpstr>Mstr</vt:lpstr>
      <vt:lpstr>国保税の計算シート!Print_Area</vt:lpstr>
      <vt:lpstr>国保税の計算シート!年齢選択</vt:lpstr>
      <vt:lpstr>年齢選択</vt:lpstr>
    </vt:vector>
  </TitlesOfParts>
  <Company>TSUBAME-CITY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山宮台介</dc:creator>
  <cp:lastModifiedBy>伊藤　栞</cp:lastModifiedBy>
  <cp:lastPrinted>2026-03-23T08:15:33Z</cp:lastPrinted>
  <dcterms:created xsi:type="dcterms:W3CDTF">2013-05-13T10:00:29Z</dcterms:created>
  <dcterms:modified xsi:type="dcterms:W3CDTF">2026-03-23T08:16:00Z</dcterms:modified>
</cp:coreProperties>
</file>